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tables/table7.xml" ContentType="application/vnd.openxmlformats-officedocument.spreadsheetml.table+xml"/>
  <Override PartName="/xl/comments7.xml" ContentType="application/vnd.openxmlformats-officedocument.spreadsheetml.comments+xml"/>
  <Override PartName="/xl/tables/table8.xml" ContentType="application/vnd.openxmlformats-officedocument.spreadsheetml.table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corporate_new\Finance\Director\Budget\Budget 2023\SOW\Department files\"/>
    </mc:Choice>
  </mc:AlternateContent>
  <xr:revisionPtr revIDLastSave="0" documentId="8_{119F9926-FF66-4911-A5A9-0F1088463402}" xr6:coauthVersionLast="47" xr6:coauthVersionMax="47" xr10:uidLastSave="{00000000-0000-0000-0000-000000000000}"/>
  <bookViews>
    <workbookView xWindow="28695" yWindow="-105" windowWidth="29010" windowHeight="15810" xr2:uid="{B3E32519-C7D4-48C1-BC75-ECD53F9CA90E}"/>
  </bookViews>
  <sheets>
    <sheet name="SOW Product" sheetId="8" r:id="rId1"/>
    <sheet name="SOW Lavie Bio" sheetId="7" r:id="rId2"/>
    <sheet name="SOW Biomica" sheetId="6" r:id="rId3"/>
    <sheet name="SOW CPB" sheetId="5" r:id="rId4"/>
    <sheet name="SOW Casterra" sheetId="4" r:id="rId5"/>
    <sheet name="SOW Canonic" sheetId="3" r:id="rId6"/>
    <sheet name="SOW Agseed" sheetId="2" r:id="rId7"/>
    <sheet name="SOW Agplenus" sheetId="1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__123Graph_A" localSheetId="6" hidden="1">[2]Historical!#REF!</definedName>
    <definedName name="__123Graph_A" localSheetId="5" hidden="1">[2]Historical!#REF!</definedName>
    <definedName name="__123Graph_A" localSheetId="4" hidden="1">[2]Historical!#REF!</definedName>
    <definedName name="__123Graph_A" localSheetId="3" hidden="1">[2]Historical!#REF!</definedName>
    <definedName name="__123Graph_A" hidden="1">[2]Historical!#REF!</definedName>
    <definedName name="__123Graph_ACURRENT" hidden="1">[3]RUL2!$E$289:$E$326</definedName>
    <definedName name="__123Graph_AINC2" hidden="1">[4]הכנסות!#REF!</definedName>
    <definedName name="__123Graph_AINC3" hidden="1">[4]הכנסות!#REF!</definedName>
    <definedName name="__123Graph_BINC2" hidden="1">[4]הכנסות!#REF!</definedName>
    <definedName name="__123Graph_CINC2" hidden="1">[4]הכנסות!#REF!</definedName>
    <definedName name="__123Graph_DINC2" hidden="1">[4]הכנסות!#REF!</definedName>
    <definedName name="__123Graph_EINC2" hidden="1">[4]הכנסות!#REF!</definedName>
    <definedName name="__123Graph_XCURRENT" hidden="1">[3]RUL2!$A$289:$A$326</definedName>
    <definedName name="__123Graph_XINC3" hidden="1">[4]הכנסות!#REF!</definedName>
    <definedName name="_1_0_rder1" hidden="1">255</definedName>
    <definedName name="_Dist_Bin" localSheetId="6" hidden="1">#REF!</definedName>
    <definedName name="_Dist_Bin" localSheetId="5" hidden="1">#REF!</definedName>
    <definedName name="_Dist_Bin" localSheetId="4" hidden="1">#REF!</definedName>
    <definedName name="_Dist_Bin" localSheetId="3" hidden="1">#REF!</definedName>
    <definedName name="_Dist_Bin" hidden="1">#REF!</definedName>
    <definedName name="_Dist_Values" localSheetId="6" hidden="1">#REF!</definedName>
    <definedName name="_Dist_Values" localSheetId="5" hidden="1">#REF!</definedName>
    <definedName name="_Dist_Values" localSheetId="4" hidden="1">#REF!</definedName>
    <definedName name="_Dist_Values" localSheetId="3" hidden="1">#REF!</definedName>
    <definedName name="_Dist_Values" hidden="1">#REF!</definedName>
    <definedName name="_Fill" localSheetId="6" hidden="1">#REF!</definedName>
    <definedName name="_Fill" localSheetId="5" hidden="1">#REF!</definedName>
    <definedName name="_Fill" localSheetId="4" hidden="1">#REF!</definedName>
    <definedName name="_Fill" localSheetId="3" hidden="1">#REF!</definedName>
    <definedName name="_Fill" hidden="1">#REF!</definedName>
    <definedName name="_xlnm._FilterDatabase" localSheetId="7" hidden="1">'SOW Agplenus'!#REF!</definedName>
    <definedName name="_xlnm._FilterDatabase" localSheetId="6" hidden="1">'SOW Agseed'!#REF!</definedName>
    <definedName name="_xlnm._FilterDatabase" localSheetId="2" hidden="1">'SOW Biomica'!#REF!</definedName>
    <definedName name="_xlnm._FilterDatabase" localSheetId="5" hidden="1">'SOW Canonic'!#REF!</definedName>
    <definedName name="_xlnm._FilterDatabase" localSheetId="4" hidden="1">'SOW Casterra'!#REF!</definedName>
    <definedName name="_xlnm._FilterDatabase" localSheetId="3" hidden="1">'SOW CPB'!#REF!</definedName>
    <definedName name="_xlnm._FilterDatabase" localSheetId="1" hidden="1">'SOW Lavie Bio'!#REF!</definedName>
    <definedName name="_xlnm._FilterDatabase" localSheetId="0" hidden="1">'SOW Product'!#REF!</definedName>
    <definedName name="_xlnm._FilterDatabase" hidden="1">'[5]2002'!$B$1:$B$1758</definedName>
    <definedName name="_Key1" localSheetId="6" hidden="1">#REF!</definedName>
    <definedName name="_Key1" localSheetId="5" hidden="1">#REF!</definedName>
    <definedName name="_Key1" localSheetId="4" hidden="1">#REF!</definedName>
    <definedName name="_Key1" localSheetId="3" hidden="1">#REF!</definedName>
    <definedName name="_Key1" hidden="1">#REF!</definedName>
    <definedName name="_Key2" localSheetId="6" hidden="1">#REF!</definedName>
    <definedName name="_Key2" localSheetId="5" hidden="1">#REF!</definedName>
    <definedName name="_Key2" localSheetId="4" hidden="1">#REF!</definedName>
    <definedName name="_Key2" localSheetId="3" hidden="1">#REF!</definedName>
    <definedName name="_Key2" hidden="1">#REF!</definedName>
    <definedName name="_Keyn" localSheetId="6" hidden="1">#REF!</definedName>
    <definedName name="_Keyn" localSheetId="5" hidden="1">#REF!</definedName>
    <definedName name="_Keyn" localSheetId="4" hidden="1">#REF!</definedName>
    <definedName name="_Keyn" localSheetId="3" hidden="1">#REF!</definedName>
    <definedName name="_Keyn" hidden="1">#REF!</definedName>
    <definedName name="_MxpDBData_" localSheetId="6">#REF!</definedName>
    <definedName name="_MxpDBData_" localSheetId="5">#REF!</definedName>
    <definedName name="_MxpDBData_" localSheetId="4">#REF!</definedName>
    <definedName name="_MxpDBData_" localSheetId="3">#REF!</definedName>
    <definedName name="_MxpDBData_">#REF!</definedName>
    <definedName name="_new" localSheetId="6" hidden="1">#REF!</definedName>
    <definedName name="_new" localSheetId="5" hidden="1">#REF!</definedName>
    <definedName name="_new" localSheetId="4" hidden="1">#REF!</definedName>
    <definedName name="_new" localSheetId="3" hidden="1">#REF!</definedName>
    <definedName name="_new" hidden="1">#REF!</definedName>
    <definedName name="_no1" localSheetId="6" hidden="1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_no1" localSheetId="5" hidden="1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_no1" localSheetId="4" hidden="1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_no1" localSheetId="3" hidden="1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_no1" hidden="1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_no1_1" localSheetId="6" hidden="1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_no1_1" localSheetId="5" hidden="1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_no1_1" localSheetId="4" hidden="1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_no1_1" localSheetId="3" hidden="1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_no1_1" hidden="1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_Order1" hidden="1">0</definedName>
    <definedName name="_Order2" hidden="1">255</definedName>
    <definedName name="_Regression_Out" localSheetId="6" hidden="1">#REF!</definedName>
    <definedName name="_Regression_Out" localSheetId="5" hidden="1">#REF!</definedName>
    <definedName name="_Regression_Out" localSheetId="4" hidden="1">#REF!</definedName>
    <definedName name="_Regression_Out" localSheetId="3" hidden="1">#REF!</definedName>
    <definedName name="_Regression_Out" hidden="1">#REF!</definedName>
    <definedName name="_Regression_X" localSheetId="6" hidden="1">#REF!</definedName>
    <definedName name="_Regression_X" localSheetId="5" hidden="1">#REF!</definedName>
    <definedName name="_Regression_X" localSheetId="4" hidden="1">#REF!</definedName>
    <definedName name="_Regression_X" localSheetId="3" hidden="1">#REF!</definedName>
    <definedName name="_Regression_X" hidden="1">#REF!</definedName>
    <definedName name="_Regression_Y" localSheetId="6" hidden="1">#REF!</definedName>
    <definedName name="_Regression_Y" localSheetId="5" hidden="1">#REF!</definedName>
    <definedName name="_Regression_Y" localSheetId="4" hidden="1">#REF!</definedName>
    <definedName name="_Regression_Y" localSheetId="3" hidden="1">#REF!</definedName>
    <definedName name="_Regression_Y" hidden="1">#REF!</definedName>
    <definedName name="_Sort" localSheetId="6" hidden="1">#REF!</definedName>
    <definedName name="_Sort" localSheetId="5" hidden="1">#REF!</definedName>
    <definedName name="_Sort" localSheetId="4" hidden="1">#REF!</definedName>
    <definedName name="_Sort" localSheetId="3" hidden="1">#REF!</definedName>
    <definedName name="_Sort" hidden="1">#REF!</definedName>
    <definedName name="_Sortn" localSheetId="6" hidden="1">#REF!</definedName>
    <definedName name="_Sortn" localSheetId="5" hidden="1">#REF!</definedName>
    <definedName name="_Sortn" localSheetId="4" hidden="1">#REF!</definedName>
    <definedName name="_Sortn" localSheetId="3" hidden="1">#REF!</definedName>
    <definedName name="_Sortn" hidden="1">#REF!</definedName>
    <definedName name="_Table1_In1" localSheetId="5" hidden="1">[6]INPUT!#REF!</definedName>
    <definedName name="_Table1_In1" hidden="1">[6]INPUT!#REF!</definedName>
    <definedName name="_Table1_Out" localSheetId="6" hidden="1">#REF!</definedName>
    <definedName name="_Table1_Out" localSheetId="5" hidden="1">#REF!</definedName>
    <definedName name="_Table1_Out" localSheetId="4" hidden="1">#REF!</definedName>
    <definedName name="_Table1_Out" localSheetId="3" hidden="1">#REF!</definedName>
    <definedName name="_Table1_Out" hidden="1">#REF!</definedName>
    <definedName name="_Table2_In1" localSheetId="6" hidden="1">#REF!</definedName>
    <definedName name="_Table2_In1" localSheetId="5" hidden="1">#REF!</definedName>
    <definedName name="_Table2_In1" localSheetId="4" hidden="1">#REF!</definedName>
    <definedName name="_Table2_In1" localSheetId="3" hidden="1">#REF!</definedName>
    <definedName name="_Table2_In1" hidden="1">#REF!</definedName>
    <definedName name="_Table2_In2" localSheetId="6" hidden="1">#REF!</definedName>
    <definedName name="_Table2_In2" localSheetId="5" hidden="1">#REF!</definedName>
    <definedName name="_Table2_In2" localSheetId="4" hidden="1">#REF!</definedName>
    <definedName name="_Table2_In2" localSheetId="3" hidden="1">#REF!</definedName>
    <definedName name="_Table2_In2" hidden="1">#REF!</definedName>
    <definedName name="_Table2_Out" localSheetId="6" hidden="1">#REF!</definedName>
    <definedName name="_Table2_Out" localSheetId="5" hidden="1">#REF!</definedName>
    <definedName name="_Table2_Out" localSheetId="4" hidden="1">#REF!</definedName>
    <definedName name="_Table2_Out" localSheetId="3" hidden="1">#REF!</definedName>
    <definedName name="_Table2_Out" hidden="1">#REF!</definedName>
    <definedName name="_v" hidden="1">'[7]IS Summary-96'!$B$12:$AL$30</definedName>
    <definedName name="_WRN2" localSheetId="6" hidden="1">{#N/A,#N/A,FALSE,"Consol P&amp;L ";#N/A,#N/A,FALSE,"CP P&amp;L";#N/A,#N/A,FALSE,"ADS P&amp;L";#N/A,#N/A,FALSE,"Corp P&amp;L"}</definedName>
    <definedName name="_WRN2" localSheetId="5" hidden="1">{#N/A,#N/A,FALSE,"Consol P&amp;L ";#N/A,#N/A,FALSE,"CP P&amp;L";#N/A,#N/A,FALSE,"ADS P&amp;L";#N/A,#N/A,FALSE,"Corp P&amp;L"}</definedName>
    <definedName name="_WRN2" localSheetId="4" hidden="1">{#N/A,#N/A,FALSE,"Consol P&amp;L ";#N/A,#N/A,FALSE,"CP P&amp;L";#N/A,#N/A,FALSE,"ADS P&amp;L";#N/A,#N/A,FALSE,"Corp P&amp;L"}</definedName>
    <definedName name="_WRN2" localSheetId="3" hidden="1">{#N/A,#N/A,FALSE,"Consol P&amp;L ";#N/A,#N/A,FALSE,"CP P&amp;L";#N/A,#N/A,FALSE,"ADS P&amp;L";#N/A,#N/A,FALSE,"Corp P&amp;L"}</definedName>
    <definedName name="_WRN2" hidden="1">{#N/A,#N/A,FALSE,"Consol P&amp;L ";#N/A,#N/A,FALSE,"CP P&amp;L";#N/A,#N/A,FALSE,"ADS P&amp;L";#N/A,#N/A,FALSE,"Corp P&amp;L"}</definedName>
    <definedName name="_WRN2_1" localSheetId="6" hidden="1">{#N/A,#N/A,FALSE,"Consol P&amp;L ";#N/A,#N/A,FALSE,"CP P&amp;L";#N/A,#N/A,FALSE,"ADS P&amp;L";#N/A,#N/A,FALSE,"Corp P&amp;L"}</definedName>
    <definedName name="_WRN2_1" localSheetId="5" hidden="1">{#N/A,#N/A,FALSE,"Consol P&amp;L ";#N/A,#N/A,FALSE,"CP P&amp;L";#N/A,#N/A,FALSE,"ADS P&amp;L";#N/A,#N/A,FALSE,"Corp P&amp;L"}</definedName>
    <definedName name="_WRN2_1" localSheetId="4" hidden="1">{#N/A,#N/A,FALSE,"Consol P&amp;L ";#N/A,#N/A,FALSE,"CP P&amp;L";#N/A,#N/A,FALSE,"ADS P&amp;L";#N/A,#N/A,FALSE,"Corp P&amp;L"}</definedName>
    <definedName name="_WRN2_1" localSheetId="3" hidden="1">{#N/A,#N/A,FALSE,"Consol P&amp;L ";#N/A,#N/A,FALSE,"CP P&amp;L";#N/A,#N/A,FALSE,"ADS P&amp;L";#N/A,#N/A,FALSE,"Corp P&amp;L"}</definedName>
    <definedName name="_WRN2_1" hidden="1">{#N/A,#N/A,FALSE,"Consol P&amp;L ";#N/A,#N/A,FALSE,"CP P&amp;L";#N/A,#N/A,FALSE,"ADS P&amp;L";#N/A,#N/A,FALSE,"Corp P&amp;L"}</definedName>
    <definedName name="aaa" localSheetId="6" hidden="1">#REF!</definedName>
    <definedName name="aaa" localSheetId="5" hidden="1">#REF!</definedName>
    <definedName name="aaa" localSheetId="4" hidden="1">#REF!</definedName>
    <definedName name="aaa" localSheetId="3" hidden="1">#REF!</definedName>
    <definedName name="aaa" hidden="1">#REF!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b" localSheetId="6" hidden="1">{#N/A,#N/A,FALSE,"contents";#N/A,#N/A,FALSE,"bal. sheet";#N/A,#N/A,FALSE,"income";#N/A,#N/A,FALSE,"cashflow";#N/A,#N/A,FALSE,"equity";#N/A,#N/A,FALSE,"notes";#N/A,#N/A,FALSE,"supplemental"}</definedName>
    <definedName name="ab" localSheetId="5" hidden="1">{#N/A,#N/A,FALSE,"contents";#N/A,#N/A,FALSE,"bal. sheet";#N/A,#N/A,FALSE,"income";#N/A,#N/A,FALSE,"cashflow";#N/A,#N/A,FALSE,"equity";#N/A,#N/A,FALSE,"notes";#N/A,#N/A,FALSE,"supplemental"}</definedName>
    <definedName name="ab" localSheetId="4" hidden="1">{#N/A,#N/A,FALSE,"contents";#N/A,#N/A,FALSE,"bal. sheet";#N/A,#N/A,FALSE,"income";#N/A,#N/A,FALSE,"cashflow";#N/A,#N/A,FALSE,"equity";#N/A,#N/A,FALSE,"notes";#N/A,#N/A,FALSE,"supplemental"}</definedName>
    <definedName name="ab" localSheetId="3" hidden="1">{#N/A,#N/A,FALSE,"contents";#N/A,#N/A,FALSE,"bal. sheet";#N/A,#N/A,FALSE,"income";#N/A,#N/A,FALSE,"cashflow";#N/A,#N/A,FALSE,"equity";#N/A,#N/A,FALSE,"notes";#N/A,#N/A,FALSE,"supplemental"}</definedName>
    <definedName name="ab" hidden="1">{#N/A,#N/A,FALSE,"contents";#N/A,#N/A,FALSE,"bal. sheet";#N/A,#N/A,FALSE,"income";#N/A,#N/A,FALSE,"cashflow";#N/A,#N/A,FALSE,"equity";#N/A,#N/A,FALSE,"notes";#N/A,#N/A,FALSE,"supplemental"}</definedName>
    <definedName name="ab_1" localSheetId="6" hidden="1">{#N/A,#N/A,FALSE,"contents";#N/A,#N/A,FALSE,"bal. sheet";#N/A,#N/A,FALSE,"income";#N/A,#N/A,FALSE,"cashflow";#N/A,#N/A,FALSE,"equity";#N/A,#N/A,FALSE,"notes";#N/A,#N/A,FALSE,"supplemental"}</definedName>
    <definedName name="ab_1" localSheetId="5" hidden="1">{#N/A,#N/A,FALSE,"contents";#N/A,#N/A,FALSE,"bal. sheet";#N/A,#N/A,FALSE,"income";#N/A,#N/A,FALSE,"cashflow";#N/A,#N/A,FALSE,"equity";#N/A,#N/A,FALSE,"notes";#N/A,#N/A,FALSE,"supplemental"}</definedName>
    <definedName name="ab_1" localSheetId="4" hidden="1">{#N/A,#N/A,FALSE,"contents";#N/A,#N/A,FALSE,"bal. sheet";#N/A,#N/A,FALSE,"income";#N/A,#N/A,FALSE,"cashflow";#N/A,#N/A,FALSE,"equity";#N/A,#N/A,FALSE,"notes";#N/A,#N/A,FALSE,"supplemental"}</definedName>
    <definedName name="ab_1" localSheetId="3" hidden="1">{#N/A,#N/A,FALSE,"contents";#N/A,#N/A,FALSE,"bal. sheet";#N/A,#N/A,FALSE,"income";#N/A,#N/A,FALSE,"cashflow";#N/A,#N/A,FALSE,"equity";#N/A,#N/A,FALSE,"notes";#N/A,#N/A,FALSE,"supplemental"}</definedName>
    <definedName name="ab_1" hidden="1">{#N/A,#N/A,FALSE,"contents";#N/A,#N/A,FALSE,"bal. sheet";#N/A,#N/A,FALSE,"income";#N/A,#N/A,FALSE,"cashflow";#N/A,#N/A,FALSE,"equity";#N/A,#N/A,FALSE,"notes";#N/A,#N/A,FALSE,"supplemental"}</definedName>
    <definedName name="abc" localSheetId="6" hidden="1">{#N/A,#N/A,FALSE,"Sheet1";#N/A,#N/A,FALSE,"Sheet2";#N/A,#N/A,FALSE,"Sheet3";#N/A,#N/A,FALSE,"Sheet4";#N/A,#N/A,FALSE,"Sheet5";#N/A,#N/A,FALSE,"Sheet6"}</definedName>
    <definedName name="abc" localSheetId="5" hidden="1">{#N/A,#N/A,FALSE,"Sheet1";#N/A,#N/A,FALSE,"Sheet2";#N/A,#N/A,FALSE,"Sheet3";#N/A,#N/A,FALSE,"Sheet4";#N/A,#N/A,FALSE,"Sheet5";#N/A,#N/A,FALSE,"Sheet6"}</definedName>
    <definedName name="abc" localSheetId="4" hidden="1">{#N/A,#N/A,FALSE,"Sheet1";#N/A,#N/A,FALSE,"Sheet2";#N/A,#N/A,FALSE,"Sheet3";#N/A,#N/A,FALSE,"Sheet4";#N/A,#N/A,FALSE,"Sheet5";#N/A,#N/A,FALSE,"Sheet6"}</definedName>
    <definedName name="abc" localSheetId="3" hidden="1">{#N/A,#N/A,FALSE,"Sheet1";#N/A,#N/A,FALSE,"Sheet2";#N/A,#N/A,FALSE,"Sheet3";#N/A,#N/A,FALSE,"Sheet4";#N/A,#N/A,FALSE,"Sheet5";#N/A,#N/A,FALSE,"Sheet6"}</definedName>
    <definedName name="abc" hidden="1">{#N/A,#N/A,FALSE,"Sheet1";#N/A,#N/A,FALSE,"Sheet2";#N/A,#N/A,FALSE,"Sheet3";#N/A,#N/A,FALSE,"Sheet4";#N/A,#N/A,FALSE,"Sheet5";#N/A,#N/A,FALSE,"Sheet6"}</definedName>
    <definedName name="abc_1" localSheetId="6" hidden="1">{#N/A,#N/A,FALSE,"Sheet1";#N/A,#N/A,FALSE,"Sheet2";#N/A,#N/A,FALSE,"Sheet3";#N/A,#N/A,FALSE,"Sheet4";#N/A,#N/A,FALSE,"Sheet5";#N/A,#N/A,FALSE,"Sheet6"}</definedName>
    <definedName name="abc_1" localSheetId="5" hidden="1">{#N/A,#N/A,FALSE,"Sheet1";#N/A,#N/A,FALSE,"Sheet2";#N/A,#N/A,FALSE,"Sheet3";#N/A,#N/A,FALSE,"Sheet4";#N/A,#N/A,FALSE,"Sheet5";#N/A,#N/A,FALSE,"Sheet6"}</definedName>
    <definedName name="abc_1" localSheetId="4" hidden="1">{#N/A,#N/A,FALSE,"Sheet1";#N/A,#N/A,FALSE,"Sheet2";#N/A,#N/A,FALSE,"Sheet3";#N/A,#N/A,FALSE,"Sheet4";#N/A,#N/A,FALSE,"Sheet5";#N/A,#N/A,FALSE,"Sheet6"}</definedName>
    <definedName name="abc_1" localSheetId="3" hidden="1">{#N/A,#N/A,FALSE,"Sheet1";#N/A,#N/A,FALSE,"Sheet2";#N/A,#N/A,FALSE,"Sheet3";#N/A,#N/A,FALSE,"Sheet4";#N/A,#N/A,FALSE,"Sheet5";#N/A,#N/A,FALSE,"Sheet6"}</definedName>
    <definedName name="abc_1" hidden="1">{#N/A,#N/A,FALSE,"Sheet1";#N/A,#N/A,FALSE,"Sheet2";#N/A,#N/A,FALSE,"Sheet3";#N/A,#N/A,FALSE,"Sheet4";#N/A,#N/A,FALSE,"Sheet5";#N/A,#N/A,FALSE,"Sheet6"}</definedName>
    <definedName name="ACwvu.FRP_BACKLOG1." localSheetId="6" hidden="1">#REF!</definedName>
    <definedName name="ACwvu.FRP_BACKLOG1." localSheetId="5" hidden="1">#REF!</definedName>
    <definedName name="ACwvu.FRP_BACKLOG1." localSheetId="4" hidden="1">#REF!</definedName>
    <definedName name="ACwvu.FRP_BACKLOG1." localSheetId="3" hidden="1">#REF!</definedName>
    <definedName name="ACwvu.FRP_BACKLOG1." hidden="1">#REF!</definedName>
    <definedName name="ACwvu.FRP_backlog2." localSheetId="6" hidden="1">#REF!</definedName>
    <definedName name="ACwvu.FRP_backlog2." localSheetId="5" hidden="1">#REF!</definedName>
    <definedName name="ACwvu.FRP_backlog2." localSheetId="4" hidden="1">#REF!</definedName>
    <definedName name="ACwvu.FRP_backlog2." localSheetId="3" hidden="1">#REF!</definedName>
    <definedName name="ACwvu.FRP_backlog2." hidden="1">#REF!</definedName>
    <definedName name="adcd" localSheetId="6" hidden="1">{#N/A,#N/A,FALSE,"Sheet8";#N/A,#N/A,FALSE,"Sheet7"}</definedName>
    <definedName name="adcd" localSheetId="5" hidden="1">{#N/A,#N/A,FALSE,"Sheet8";#N/A,#N/A,FALSE,"Sheet7"}</definedName>
    <definedName name="adcd" localSheetId="4" hidden="1">{#N/A,#N/A,FALSE,"Sheet8";#N/A,#N/A,FALSE,"Sheet7"}</definedName>
    <definedName name="adcd" localSheetId="3" hidden="1">{#N/A,#N/A,FALSE,"Sheet8";#N/A,#N/A,FALSE,"Sheet7"}</definedName>
    <definedName name="adcd" hidden="1">{#N/A,#N/A,FALSE,"Sheet8";#N/A,#N/A,FALSE,"Sheet7"}</definedName>
    <definedName name="adcd_1" localSheetId="6" hidden="1">{#N/A,#N/A,FALSE,"Sheet8";#N/A,#N/A,FALSE,"Sheet7"}</definedName>
    <definedName name="adcd_1" localSheetId="5" hidden="1">{#N/A,#N/A,FALSE,"Sheet8";#N/A,#N/A,FALSE,"Sheet7"}</definedName>
    <definedName name="adcd_1" localSheetId="4" hidden="1">{#N/A,#N/A,FALSE,"Sheet8";#N/A,#N/A,FALSE,"Sheet7"}</definedName>
    <definedName name="adcd_1" localSheetId="3" hidden="1">{#N/A,#N/A,FALSE,"Sheet8";#N/A,#N/A,FALSE,"Sheet7"}</definedName>
    <definedName name="adcd_1" hidden="1">{#N/A,#N/A,FALSE,"Sheet8";#N/A,#N/A,FALSE,"Sheet7"}</definedName>
    <definedName name="ah" localSheetId="6" hidden="1">#REF!</definedName>
    <definedName name="ah" localSheetId="5" hidden="1">#REF!</definedName>
    <definedName name="ah" localSheetId="4" hidden="1">#REF!</definedName>
    <definedName name="ah" localSheetId="3" hidden="1">#REF!</definedName>
    <definedName name="ah" hidden="1">#REF!</definedName>
    <definedName name="an" localSheetId="6" hidden="1">#REF!</definedName>
    <definedName name="an" localSheetId="5" hidden="1">#REF!</definedName>
    <definedName name="an" localSheetId="4" hidden="1">#REF!</definedName>
    <definedName name="an" localSheetId="3" hidden="1">#REF!</definedName>
    <definedName name="an" hidden="1">#REF!</definedName>
    <definedName name="anscount" hidden="1">1</definedName>
    <definedName name="ArmaPPA" localSheetId="6" hidden="1">{#N/A,#N/A,FALSE,"Sheet8";#N/A,#N/A,FALSE,"Sheet7"}</definedName>
    <definedName name="ArmaPPA" localSheetId="5" hidden="1">{#N/A,#N/A,FALSE,"Sheet8";#N/A,#N/A,FALSE,"Sheet7"}</definedName>
    <definedName name="ArmaPPA" localSheetId="4" hidden="1">{#N/A,#N/A,FALSE,"Sheet8";#N/A,#N/A,FALSE,"Sheet7"}</definedName>
    <definedName name="ArmaPPA" localSheetId="3" hidden="1">{#N/A,#N/A,FALSE,"Sheet8";#N/A,#N/A,FALSE,"Sheet7"}</definedName>
    <definedName name="ArmaPPA" hidden="1">{#N/A,#N/A,FALSE,"Sheet8";#N/A,#N/A,FALSE,"Sheet7"}</definedName>
    <definedName name="ArmaPPA_1" localSheetId="6" hidden="1">{#N/A,#N/A,FALSE,"Sheet8";#N/A,#N/A,FALSE,"Sheet7"}</definedName>
    <definedName name="ArmaPPA_1" localSheetId="5" hidden="1">{#N/A,#N/A,FALSE,"Sheet8";#N/A,#N/A,FALSE,"Sheet7"}</definedName>
    <definedName name="ArmaPPA_1" localSheetId="4" hidden="1">{#N/A,#N/A,FALSE,"Sheet8";#N/A,#N/A,FALSE,"Sheet7"}</definedName>
    <definedName name="ArmaPPA_1" localSheetId="3" hidden="1">{#N/A,#N/A,FALSE,"Sheet8";#N/A,#N/A,FALSE,"Sheet7"}</definedName>
    <definedName name="ArmaPPA_1" hidden="1">{#N/A,#N/A,FALSE,"Sheet8";#N/A,#N/A,FALSE,"Sheet7"}</definedName>
    <definedName name="AS2DocOpenMode" hidden="1">"AS2DocumentEdit"</definedName>
    <definedName name="Asset_Type">[8]data!$AZ$3:$AZ$6</definedName>
    <definedName name="avegmultiple" localSheetId="6" hidden="1">#REF!</definedName>
    <definedName name="avegmultiple" localSheetId="5" hidden="1">#REF!</definedName>
    <definedName name="avegmultiple" localSheetId="4" hidden="1">#REF!</definedName>
    <definedName name="avegmultiple" localSheetId="3" hidden="1">#REF!</definedName>
    <definedName name="avegmultiple" hidden="1">#REF!</definedName>
    <definedName name="balances_01">'[22]general ledger'!$J$4:$J$522</definedName>
    <definedName name="balances_02">'[22]general ledger'!$M$4:$M$522</definedName>
    <definedName name="balances_03">'[22]general ledger'!$P$4:$P$522</definedName>
    <definedName name="balances_04">'[22]general ledger'!$S$4:$S$522</definedName>
    <definedName name="balances_05">'[22]general ledger'!$V$4:$V$522</definedName>
    <definedName name="balances_06">'[22]general ledger'!$Y$4:$Y$522</definedName>
    <definedName name="balances_07">'[22]general ledger'!$AB$4:$AB$522</definedName>
    <definedName name="balances_08">'[22]general ledger'!$AE$4:$AE$522</definedName>
    <definedName name="balances_09">'[22]general ledger'!$AH$4:$AH$522</definedName>
    <definedName name="BIO" localSheetId="3">'[28] Employees for 2023'!#REF!</definedName>
    <definedName name="BIO">[26]EMPLOYEES!#REF!</definedName>
    <definedName name="biolab">'[9]biolab budget'!$A:$L</definedName>
    <definedName name="BLPH12" hidden="1">'[10]Comp Analysis'!#REF!</definedName>
    <definedName name="cards_selections">'[23]general ledger'!$F$4:$F$485</definedName>
    <definedName name="cards_selections_bbs">[23]BBS!$A$10:$A$61</definedName>
    <definedName name="cards_selections_bpl">'[22]BP&amp;L'!$A$9:$A$70</definedName>
    <definedName name="Company">[8]data!$A$3</definedName>
    <definedName name="CompanyValidation">[11]!Companies[Company]</definedName>
    <definedName name="compnam" hidden="1">[12]KeyMultInputs!#REF!</definedName>
    <definedName name="compout2.print" localSheetId="6" hidden="1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compout2.print" localSheetId="5" hidden="1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compout2.print" localSheetId="4" hidden="1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compout2.print" localSheetId="3" hidden="1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compout2.print" hidden="1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compout2.print_1" localSheetId="6" hidden="1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compout2.print_1" localSheetId="5" hidden="1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compout2.print_1" localSheetId="4" hidden="1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compout2.print_1" localSheetId="3" hidden="1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compout2.print_1" hidden="1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compout3" localSheetId="6" hidden="1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compout3" localSheetId="5" hidden="1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compout3" localSheetId="4" hidden="1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compout3" localSheetId="3" hidden="1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compout3" hidden="1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compout3_1" localSheetId="6" hidden="1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compout3_1" localSheetId="5" hidden="1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compout3_1" localSheetId="4" hidden="1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compout3_1" localSheetId="3" hidden="1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compout3_1" hidden="1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consolidation2003" localSheetId="6" hidden="1">{#N/A,#N/A,FALSE,"מאזן בוחן";"כל_מאזן_בוחן",#N/A,FALSE,"מאזן בוחן"}</definedName>
    <definedName name="consolidation2003" localSheetId="5" hidden="1">{#N/A,#N/A,FALSE,"מאזן בוחן";"כל_מאזן_בוחן",#N/A,FALSE,"מאזן בוחן"}</definedName>
    <definedName name="consolidation2003" localSheetId="4" hidden="1">{#N/A,#N/A,FALSE,"מאזן בוחן";"כל_מאזן_בוחן",#N/A,FALSE,"מאזן בוחן"}</definedName>
    <definedName name="consolidation2003" localSheetId="3" hidden="1">{#N/A,#N/A,FALSE,"מאזן בוחן";"כל_מאזן_בוחן",#N/A,FALSE,"מאזן בוחן"}</definedName>
    <definedName name="consolidation2003" hidden="1">{#N/A,#N/A,FALSE,"מאזן בוחן";"כל_מאזן_בוחן",#N/A,FALSE,"מאזן בוחן"}</definedName>
    <definedName name="consolidation2003_1" localSheetId="6" hidden="1">{#N/A,#N/A,FALSE,"מאזן בוחן";"כל_מאזן_בוחן",#N/A,FALSE,"מאזן בוחן"}</definedName>
    <definedName name="consolidation2003_1" localSheetId="5" hidden="1">{#N/A,#N/A,FALSE,"מאזן בוחן";"כל_מאזן_בוחן",#N/A,FALSE,"מאזן בוחן"}</definedName>
    <definedName name="consolidation2003_1" localSheetId="4" hidden="1">{#N/A,#N/A,FALSE,"מאזן בוחן";"כל_מאזן_בוחן",#N/A,FALSE,"מאזן בוחן"}</definedName>
    <definedName name="consolidation2003_1" localSheetId="3" hidden="1">{#N/A,#N/A,FALSE,"מאזן בוחן";"כל_מאזן_בוחן",#N/A,FALSE,"מאזן בוחן"}</definedName>
    <definedName name="consolidation2003_1" hidden="1">{#N/A,#N/A,FALSE,"מאזן בוחן";"כל_מאזן_בוחן",#N/A,FALSE,"מאזן בוחן"}</definedName>
    <definedName name="CSWSIIIbi" localSheetId="6" hidden="1">{TRUE,TRUE,4.75,-2,591,327,FALSE,TRUE,TRUE,TRUE,0,26,#N/A,1,#N/A,13.6909090909091,25.0666666666667,1,FALSE,FALSE,1,TRUE,1,FALSE,100,"Swvu.FRP_backlog2.","ACwvu.FRP_backlog2.",#N/A,FALSE,FALSE,1,1,1,0.75,2,"","&amp;L&amp;F&amp;C&amp;A&amp;R&amp;D",FALSE,FALSE,FALSE,FALSE,1,75,#N/A,#N/A,"=R1C1:R61C33","=C1:C4","Rwvu.FRP_backlog2.",#N/A,FALSE,FALSE,TRUE,1,4294967292,300,FALSE,FALSE,TRUE,TRUE,TRUE}</definedName>
    <definedName name="CSWSIIIbi" localSheetId="5" hidden="1">{TRUE,TRUE,4.75,-2,591,327,FALSE,TRUE,TRUE,TRUE,0,26,#N/A,1,#N/A,13.6909090909091,25.0666666666667,1,FALSE,FALSE,1,TRUE,1,FALSE,100,"Swvu.FRP_backlog2.","ACwvu.FRP_backlog2.",#N/A,FALSE,FALSE,1,1,1,0.75,2,"","&amp;L&amp;F&amp;C&amp;A&amp;R&amp;D",FALSE,FALSE,FALSE,FALSE,1,75,#N/A,#N/A,"=R1C1:R61C33","=C1:C4","Rwvu.FRP_backlog2.",#N/A,FALSE,FALSE,TRUE,1,4294967292,300,FALSE,FALSE,TRUE,TRUE,TRUE}</definedName>
    <definedName name="CSWSIIIbi" localSheetId="4" hidden="1">{TRUE,TRUE,4.75,-2,591,327,FALSE,TRUE,TRUE,TRUE,0,26,#N/A,1,#N/A,13.6909090909091,25.0666666666667,1,FALSE,FALSE,1,TRUE,1,FALSE,100,"Swvu.FRP_backlog2.","ACwvu.FRP_backlog2.",#N/A,FALSE,FALSE,1,1,1,0.75,2,"","&amp;L&amp;F&amp;C&amp;A&amp;R&amp;D",FALSE,FALSE,FALSE,FALSE,1,75,#N/A,#N/A,"=R1C1:R61C33","=C1:C4","Rwvu.FRP_backlog2.",#N/A,FALSE,FALSE,TRUE,1,4294967292,300,FALSE,FALSE,TRUE,TRUE,TRUE}</definedName>
    <definedName name="CSWSIIIbi" localSheetId="3" hidden="1">{TRUE,TRUE,4.75,-2,591,327,FALSE,TRUE,TRUE,TRUE,0,26,#N/A,1,#N/A,13.6909090909091,25.0666666666667,1,FALSE,FALSE,1,TRUE,1,FALSE,100,"Swvu.FRP_backlog2.","ACwvu.FRP_backlog2.",#N/A,FALSE,FALSE,1,1,1,0.75,2,"","&amp;L&amp;F&amp;C&amp;A&amp;R&amp;D",FALSE,FALSE,FALSE,FALSE,1,75,#N/A,#N/A,"=R1C1:R61C33","=C1:C4","Rwvu.FRP_backlog2.",#N/A,FALSE,FALSE,TRUE,1,4294967292,300,FALSE,FALSE,TRUE,TRUE,TRUE}</definedName>
    <definedName name="CSWSIIIbi" hidden="1">{TRUE,TRUE,4.75,-2,591,327,FALSE,TRUE,TRUE,TRUE,0,26,#N/A,1,#N/A,13.6909090909091,25.0666666666667,1,FALSE,FALSE,1,TRUE,1,FALSE,100,"Swvu.FRP_backlog2.","ACwvu.FRP_backlog2.",#N/A,FALSE,FALSE,1,1,1,0.75,2,"","&amp;L&amp;F&amp;C&amp;A&amp;R&amp;D",FALSE,FALSE,FALSE,FALSE,1,75,#N/A,#N/A,"=R1C1:R61C33","=C1:C4","Rwvu.FRP_backlog2.",#N/A,FALSE,FALSE,TRUE,1,4294967292,300,FALSE,FALSE,TRUE,TRUE,TRUE}</definedName>
    <definedName name="CSWSIIIbi_1" localSheetId="6" hidden="1">{TRUE,TRUE,4.75,-2,591,327,FALSE,TRUE,TRUE,TRUE,0,26,#N/A,1,#N/A,13.6909090909091,25.0666666666667,1,FALSE,FALSE,1,TRUE,1,FALSE,100,"Swvu.FRP_backlog2.","ACwvu.FRP_backlog2.",#N/A,FALSE,FALSE,1,1,1,0.75,2,"","&amp;L&amp;F&amp;C&amp;A&amp;R&amp;D",FALSE,FALSE,FALSE,FALSE,1,75,#N/A,#N/A,"=R1C1:R61C33","=C1:C4","Rwvu.FRP_backlog2.",#N/A,FALSE,FALSE,TRUE,1,4294967292,300,FALSE,FALSE,TRUE,TRUE,TRUE}</definedName>
    <definedName name="CSWSIIIbi_1" localSheetId="5" hidden="1">{TRUE,TRUE,4.75,-2,591,327,FALSE,TRUE,TRUE,TRUE,0,26,#N/A,1,#N/A,13.6909090909091,25.0666666666667,1,FALSE,FALSE,1,TRUE,1,FALSE,100,"Swvu.FRP_backlog2.","ACwvu.FRP_backlog2.",#N/A,FALSE,FALSE,1,1,1,0.75,2,"","&amp;L&amp;F&amp;C&amp;A&amp;R&amp;D",FALSE,FALSE,FALSE,FALSE,1,75,#N/A,#N/A,"=R1C1:R61C33","=C1:C4","Rwvu.FRP_backlog2.",#N/A,FALSE,FALSE,TRUE,1,4294967292,300,FALSE,FALSE,TRUE,TRUE,TRUE}</definedName>
    <definedName name="CSWSIIIbi_1" localSheetId="4" hidden="1">{TRUE,TRUE,4.75,-2,591,327,FALSE,TRUE,TRUE,TRUE,0,26,#N/A,1,#N/A,13.6909090909091,25.0666666666667,1,FALSE,FALSE,1,TRUE,1,FALSE,100,"Swvu.FRP_backlog2.","ACwvu.FRP_backlog2.",#N/A,FALSE,FALSE,1,1,1,0.75,2,"","&amp;L&amp;F&amp;C&amp;A&amp;R&amp;D",FALSE,FALSE,FALSE,FALSE,1,75,#N/A,#N/A,"=R1C1:R61C33","=C1:C4","Rwvu.FRP_backlog2.",#N/A,FALSE,FALSE,TRUE,1,4294967292,300,FALSE,FALSE,TRUE,TRUE,TRUE}</definedName>
    <definedName name="CSWSIIIbi_1" localSheetId="3" hidden="1">{TRUE,TRUE,4.75,-2,591,327,FALSE,TRUE,TRUE,TRUE,0,26,#N/A,1,#N/A,13.6909090909091,25.0666666666667,1,FALSE,FALSE,1,TRUE,1,FALSE,100,"Swvu.FRP_backlog2.","ACwvu.FRP_backlog2.",#N/A,FALSE,FALSE,1,1,1,0.75,2,"","&amp;L&amp;F&amp;C&amp;A&amp;R&amp;D",FALSE,FALSE,FALSE,FALSE,1,75,#N/A,#N/A,"=R1C1:R61C33","=C1:C4","Rwvu.FRP_backlog2.",#N/A,FALSE,FALSE,TRUE,1,4294967292,300,FALSE,FALSE,TRUE,TRUE,TRUE}</definedName>
    <definedName name="CSWSIIIbi_1" hidden="1">{TRUE,TRUE,4.75,-2,591,327,FALSE,TRUE,TRUE,TRUE,0,26,#N/A,1,#N/A,13.6909090909091,25.0666666666667,1,FALSE,FALSE,1,TRUE,1,FALSE,100,"Swvu.FRP_backlog2.","ACwvu.FRP_backlog2.",#N/A,FALSE,FALSE,1,1,1,0.75,2,"","&amp;L&amp;F&amp;C&amp;A&amp;R&amp;D",FALSE,FALSE,FALSE,FALSE,1,75,#N/A,#N/A,"=R1C1:R61C33","=C1:C4","Rwvu.FRP_backlog2.",#N/A,FALSE,FALSE,TRUE,1,4294967292,300,FALSE,FALSE,TRUE,TRUE,TRUE}</definedName>
    <definedName name="curse" hidden="1">[13]Inputs!$G$8</definedName>
    <definedName name="CustRel.2" localSheetId="6" hidden="1">{"gross_margin1",#N/A,FALSE,"Gross Margin Detail";"gross_margin2",#N/A,FALSE,"Gross Margin Detail"}</definedName>
    <definedName name="CustRel.2" localSheetId="5" hidden="1">{"gross_margin1",#N/A,FALSE,"Gross Margin Detail";"gross_margin2",#N/A,FALSE,"Gross Margin Detail"}</definedName>
    <definedName name="CustRel.2" localSheetId="4" hidden="1">{"gross_margin1",#N/A,FALSE,"Gross Margin Detail";"gross_margin2",#N/A,FALSE,"Gross Margin Detail"}</definedName>
    <definedName name="CustRel.2" localSheetId="3" hidden="1">{"gross_margin1",#N/A,FALSE,"Gross Margin Detail";"gross_margin2",#N/A,FALSE,"Gross Margin Detail"}</definedName>
    <definedName name="CustRel.2" hidden="1">{"gross_margin1",#N/A,FALSE,"Gross Margin Detail";"gross_margin2",#N/A,FALSE,"Gross Margin Detail"}</definedName>
    <definedName name="CustRel.2_1" localSheetId="6" hidden="1">{"gross_margin1",#N/A,FALSE,"Gross Margin Detail";"gross_margin2",#N/A,FALSE,"Gross Margin Detail"}</definedName>
    <definedName name="CustRel.2_1" localSheetId="5" hidden="1">{"gross_margin1",#N/A,FALSE,"Gross Margin Detail";"gross_margin2",#N/A,FALSE,"Gross Margin Detail"}</definedName>
    <definedName name="CustRel.2_1" localSheetId="4" hidden="1">{"gross_margin1",#N/A,FALSE,"Gross Margin Detail";"gross_margin2",#N/A,FALSE,"Gross Margin Detail"}</definedName>
    <definedName name="CustRel.2_1" localSheetId="3" hidden="1">{"gross_margin1",#N/A,FALSE,"Gross Margin Detail";"gross_margin2",#N/A,FALSE,"Gross Margin Detail"}</definedName>
    <definedName name="CustRel.2_1" hidden="1">{"gross_margin1",#N/A,FALSE,"Gross Margin Detail";"gross_margin2",#N/A,FALSE,"Gross Margin Detail"}</definedName>
    <definedName name="datadownfour" hidden="1">'[14]WP_Hist ABC'!#REF!</definedName>
    <definedName name="datadownone" hidden="1">'[14]WP_Hist ABC'!#REF!</definedName>
    <definedName name="datadownthree" hidden="1">'[14]WP_Hist ABC'!#REF!</definedName>
    <definedName name="datadowntwo" hidden="1">'[14]WP_Hist ABC'!#REF!</definedName>
    <definedName name="DataSalary">[15]Salaries!$A$2:$AZ$1254</definedName>
    <definedName name="datatoggle" hidden="1">'[14]WP_Hist ABC'!#REF!</definedName>
    <definedName name="datatoggletwo" hidden="1">'[14]WP_Hist ABC'!#REF!</definedName>
    <definedName name="DataValDate" hidden="1">'[14]WP_Hist ABC'!#REF!</definedName>
    <definedName name="datavaldate2" hidden="1">'[14]WP_Hist ABC'!#REF!</definedName>
    <definedName name="datavaldate3" hidden="1">'[14]WP_Hist ABC'!#REF!</definedName>
    <definedName name="DCFWSIIIb" localSheetId="6" hidden="1">{TRUE,TRUE,4.75,-2,591,327,FALSE,TRUE,TRUE,TRUE,0,26,#N/A,1,#N/A,13.6909090909091,25.0666666666667,1,FALSE,FALSE,1,TRUE,1,FALSE,100,"Swvu.FRP_backlog2.","ACwvu.FRP_backlog2.",#N/A,FALSE,FALSE,1,1,1,0.75,2,"","&amp;L&amp;F&amp;C&amp;A&amp;R&amp;D",FALSE,FALSE,FALSE,FALSE,1,75,#N/A,#N/A,"=R1C1:R61C33","=C1:C4","Rwvu.FRP_backlog2.",#N/A,FALSE,FALSE,TRUE,1,4294967292,300,FALSE,FALSE,TRUE,TRUE,TRUE}</definedName>
    <definedName name="DCFWSIIIb" localSheetId="5" hidden="1">{TRUE,TRUE,4.75,-2,591,327,FALSE,TRUE,TRUE,TRUE,0,26,#N/A,1,#N/A,13.6909090909091,25.0666666666667,1,FALSE,FALSE,1,TRUE,1,FALSE,100,"Swvu.FRP_backlog2.","ACwvu.FRP_backlog2.",#N/A,FALSE,FALSE,1,1,1,0.75,2,"","&amp;L&amp;F&amp;C&amp;A&amp;R&amp;D",FALSE,FALSE,FALSE,FALSE,1,75,#N/A,#N/A,"=R1C1:R61C33","=C1:C4","Rwvu.FRP_backlog2.",#N/A,FALSE,FALSE,TRUE,1,4294967292,300,FALSE,FALSE,TRUE,TRUE,TRUE}</definedName>
    <definedName name="DCFWSIIIb" localSheetId="4" hidden="1">{TRUE,TRUE,4.75,-2,591,327,FALSE,TRUE,TRUE,TRUE,0,26,#N/A,1,#N/A,13.6909090909091,25.0666666666667,1,FALSE,FALSE,1,TRUE,1,FALSE,100,"Swvu.FRP_backlog2.","ACwvu.FRP_backlog2.",#N/A,FALSE,FALSE,1,1,1,0.75,2,"","&amp;L&amp;F&amp;C&amp;A&amp;R&amp;D",FALSE,FALSE,FALSE,FALSE,1,75,#N/A,#N/A,"=R1C1:R61C33","=C1:C4","Rwvu.FRP_backlog2.",#N/A,FALSE,FALSE,TRUE,1,4294967292,300,FALSE,FALSE,TRUE,TRUE,TRUE}</definedName>
    <definedName name="DCFWSIIIb" localSheetId="3" hidden="1">{TRUE,TRUE,4.75,-2,591,327,FALSE,TRUE,TRUE,TRUE,0,26,#N/A,1,#N/A,13.6909090909091,25.0666666666667,1,FALSE,FALSE,1,TRUE,1,FALSE,100,"Swvu.FRP_backlog2.","ACwvu.FRP_backlog2.",#N/A,FALSE,FALSE,1,1,1,0.75,2,"","&amp;L&amp;F&amp;C&amp;A&amp;R&amp;D",FALSE,FALSE,FALSE,FALSE,1,75,#N/A,#N/A,"=R1C1:R61C33","=C1:C4","Rwvu.FRP_backlog2.",#N/A,FALSE,FALSE,TRUE,1,4294967292,300,FALSE,FALSE,TRUE,TRUE,TRUE}</definedName>
    <definedName name="DCFWSIIIb" hidden="1">{TRUE,TRUE,4.75,-2,591,327,FALSE,TRUE,TRUE,TRUE,0,26,#N/A,1,#N/A,13.6909090909091,25.0666666666667,1,FALSE,FALSE,1,TRUE,1,FALSE,100,"Swvu.FRP_backlog2.","ACwvu.FRP_backlog2.",#N/A,FALSE,FALSE,1,1,1,0.75,2,"","&amp;L&amp;F&amp;C&amp;A&amp;R&amp;D",FALSE,FALSE,FALSE,FALSE,1,75,#N/A,#N/A,"=R1C1:R61C33","=C1:C4","Rwvu.FRP_backlog2.",#N/A,FALSE,FALSE,TRUE,1,4294967292,300,FALSE,FALSE,TRUE,TRUE,TRUE}</definedName>
    <definedName name="DCFWSIIIb_1" localSheetId="6" hidden="1">{TRUE,TRUE,4.75,-2,591,327,FALSE,TRUE,TRUE,TRUE,0,26,#N/A,1,#N/A,13.6909090909091,25.0666666666667,1,FALSE,FALSE,1,TRUE,1,FALSE,100,"Swvu.FRP_backlog2.","ACwvu.FRP_backlog2.",#N/A,FALSE,FALSE,1,1,1,0.75,2,"","&amp;L&amp;F&amp;C&amp;A&amp;R&amp;D",FALSE,FALSE,FALSE,FALSE,1,75,#N/A,#N/A,"=R1C1:R61C33","=C1:C4","Rwvu.FRP_backlog2.",#N/A,FALSE,FALSE,TRUE,1,4294967292,300,FALSE,FALSE,TRUE,TRUE,TRUE}</definedName>
    <definedName name="DCFWSIIIb_1" localSheetId="5" hidden="1">{TRUE,TRUE,4.75,-2,591,327,FALSE,TRUE,TRUE,TRUE,0,26,#N/A,1,#N/A,13.6909090909091,25.0666666666667,1,FALSE,FALSE,1,TRUE,1,FALSE,100,"Swvu.FRP_backlog2.","ACwvu.FRP_backlog2.",#N/A,FALSE,FALSE,1,1,1,0.75,2,"","&amp;L&amp;F&amp;C&amp;A&amp;R&amp;D",FALSE,FALSE,FALSE,FALSE,1,75,#N/A,#N/A,"=R1C1:R61C33","=C1:C4","Rwvu.FRP_backlog2.",#N/A,FALSE,FALSE,TRUE,1,4294967292,300,FALSE,FALSE,TRUE,TRUE,TRUE}</definedName>
    <definedName name="DCFWSIIIb_1" localSheetId="4" hidden="1">{TRUE,TRUE,4.75,-2,591,327,FALSE,TRUE,TRUE,TRUE,0,26,#N/A,1,#N/A,13.6909090909091,25.0666666666667,1,FALSE,FALSE,1,TRUE,1,FALSE,100,"Swvu.FRP_backlog2.","ACwvu.FRP_backlog2.",#N/A,FALSE,FALSE,1,1,1,0.75,2,"","&amp;L&amp;F&amp;C&amp;A&amp;R&amp;D",FALSE,FALSE,FALSE,FALSE,1,75,#N/A,#N/A,"=R1C1:R61C33","=C1:C4","Rwvu.FRP_backlog2.",#N/A,FALSE,FALSE,TRUE,1,4294967292,300,FALSE,FALSE,TRUE,TRUE,TRUE}</definedName>
    <definedName name="DCFWSIIIb_1" localSheetId="3" hidden="1">{TRUE,TRUE,4.75,-2,591,327,FALSE,TRUE,TRUE,TRUE,0,26,#N/A,1,#N/A,13.6909090909091,25.0666666666667,1,FALSE,FALSE,1,TRUE,1,FALSE,100,"Swvu.FRP_backlog2.","ACwvu.FRP_backlog2.",#N/A,FALSE,FALSE,1,1,1,0.75,2,"","&amp;L&amp;F&amp;C&amp;A&amp;R&amp;D",FALSE,FALSE,FALSE,FALSE,1,75,#N/A,#N/A,"=R1C1:R61C33","=C1:C4","Rwvu.FRP_backlog2.",#N/A,FALSE,FALSE,TRUE,1,4294967292,300,FALSE,FALSE,TRUE,TRUE,TRUE}</definedName>
    <definedName name="DCFWSIIIb_1" hidden="1">{TRUE,TRUE,4.75,-2,591,327,FALSE,TRUE,TRUE,TRUE,0,26,#N/A,1,#N/A,13.6909090909091,25.0666666666667,1,FALSE,FALSE,1,TRUE,1,FALSE,100,"Swvu.FRP_backlog2.","ACwvu.FRP_backlog2.",#N/A,FALSE,FALSE,1,1,1,0.75,2,"","&amp;L&amp;F&amp;C&amp;A&amp;R&amp;D",FALSE,FALSE,FALSE,FALSE,1,75,#N/A,#N/A,"=R1C1:R61C33","=C1:C4","Rwvu.FRP_backlog2.",#N/A,FALSE,FALSE,TRUE,1,4294967292,300,FALSE,FALSE,TRUE,TRUE,TRUE}</definedName>
    <definedName name="DDD" localSheetId="6" hidden="1">{#N/A,#N/A,FALSE,"מאזן בוחן";"כל_מאזן_בוחן",#N/A,FALSE,"מאזן בוחן"}</definedName>
    <definedName name="DDD" localSheetId="5" hidden="1">{#N/A,#N/A,FALSE,"מאזן בוחן";"כל_מאזן_בוחן",#N/A,FALSE,"מאזן בוחן"}</definedName>
    <definedName name="DDD" localSheetId="4" hidden="1">{#N/A,#N/A,FALSE,"מאזן בוחן";"כל_מאזן_בוחן",#N/A,FALSE,"מאזן בוחן"}</definedName>
    <definedName name="DDD" localSheetId="3" hidden="1">{#N/A,#N/A,FALSE,"מאזן בוחן";"כל_מאזן_בוחן",#N/A,FALSE,"מאזן בוחן"}</definedName>
    <definedName name="DDD" hidden="1">{#N/A,#N/A,FALSE,"מאזן בוחן";"כל_מאזן_בוחן",#N/A,FALSE,"מאזן בוחן"}</definedName>
    <definedName name="DDD_1" localSheetId="6" hidden="1">{#N/A,#N/A,FALSE,"מאזן בוחן";"כל_מאזן_בוחן",#N/A,FALSE,"מאזן בוחן"}</definedName>
    <definedName name="DDD_1" localSheetId="5" hidden="1">{#N/A,#N/A,FALSE,"מאזן בוחן";"כל_מאזן_בוחן",#N/A,FALSE,"מאזן בוחן"}</definedName>
    <definedName name="DDD_1" localSheetId="4" hidden="1">{#N/A,#N/A,FALSE,"מאזן בוחן";"כל_מאזן_בוחן",#N/A,FALSE,"מאזן בוחן"}</definedName>
    <definedName name="DDD_1" localSheetId="3" hidden="1">{#N/A,#N/A,FALSE,"מאזן בוחן";"כל_מאזן_בוחן",#N/A,FALSE,"מאזן בוחן"}</definedName>
    <definedName name="DDD_1" hidden="1">{#N/A,#N/A,FALSE,"מאזן בוחן";"כל_מאזן_בוחן",#N/A,FALSE,"מאזן בוחן"}</definedName>
    <definedName name="debtpref" localSheetId="5" hidden="1">'[14]WP_Hist ABC'!#REF!</definedName>
    <definedName name="debtpref" hidden="1">'[14]WP_Hist ABC'!#REF!</definedName>
    <definedName name="Department">[8]data!$U$3</definedName>
    <definedName name="DepartmentCost">[16]Parameters!$F$2:$G$35</definedName>
    <definedName name="DepartmentList">[16]Parameters!$F$3:$F$35</definedName>
    <definedName name="DepartmentName" localSheetId="6">#REF!</definedName>
    <definedName name="DepartmentName" localSheetId="2">#REF!</definedName>
    <definedName name="DepartmentName" localSheetId="5">#REF!</definedName>
    <definedName name="DepartmentName" localSheetId="4">#REF!</definedName>
    <definedName name="DepartmentName" localSheetId="3">#REF!</definedName>
    <definedName name="DepartmentName" localSheetId="1">#REF!</definedName>
    <definedName name="DepartmentName" localSheetId="0">#REF!</definedName>
    <definedName name="DepartmentName">#REF!</definedName>
    <definedName name="departments" localSheetId="3">#REF!</definedName>
    <definedName name="departments">#REF!</definedName>
    <definedName name="dfjdk" localSheetId="6" hidden="1">{TRUE,TRUE,4.75,-2,591,327,FALSE,TRUE,TRUE,TRUE,0,26,#N/A,1,#N/A,13.6909090909091,25.0666666666667,1,FALSE,FALSE,1,TRUE,1,FALSE,100,"Swvu.FRP_backlog2.","ACwvu.FRP_backlog2.",#N/A,FALSE,FALSE,1,1,1,0.75,2,"","&amp;L&amp;F&amp;C&amp;A&amp;R&amp;D",FALSE,FALSE,FALSE,FALSE,1,75,#N/A,#N/A,"=R1C1:R61C33","=C1:C4","Rwvu.FRP_backlog2.",#N/A,FALSE,FALSE,TRUE,1,4294967292,300,FALSE,FALSE,TRUE,TRUE,TRUE}</definedName>
    <definedName name="dfjdk" localSheetId="5" hidden="1">{TRUE,TRUE,4.75,-2,591,327,FALSE,TRUE,TRUE,TRUE,0,26,#N/A,1,#N/A,13.6909090909091,25.0666666666667,1,FALSE,FALSE,1,TRUE,1,FALSE,100,"Swvu.FRP_backlog2.","ACwvu.FRP_backlog2.",#N/A,FALSE,FALSE,1,1,1,0.75,2,"","&amp;L&amp;F&amp;C&amp;A&amp;R&amp;D",FALSE,FALSE,FALSE,FALSE,1,75,#N/A,#N/A,"=R1C1:R61C33","=C1:C4","Rwvu.FRP_backlog2.",#N/A,FALSE,FALSE,TRUE,1,4294967292,300,FALSE,FALSE,TRUE,TRUE,TRUE}</definedName>
    <definedName name="dfjdk" localSheetId="4" hidden="1">{TRUE,TRUE,4.75,-2,591,327,FALSE,TRUE,TRUE,TRUE,0,26,#N/A,1,#N/A,13.6909090909091,25.0666666666667,1,FALSE,FALSE,1,TRUE,1,FALSE,100,"Swvu.FRP_backlog2.","ACwvu.FRP_backlog2.",#N/A,FALSE,FALSE,1,1,1,0.75,2,"","&amp;L&amp;F&amp;C&amp;A&amp;R&amp;D",FALSE,FALSE,FALSE,FALSE,1,75,#N/A,#N/A,"=R1C1:R61C33","=C1:C4","Rwvu.FRP_backlog2.",#N/A,FALSE,FALSE,TRUE,1,4294967292,300,FALSE,FALSE,TRUE,TRUE,TRUE}</definedName>
    <definedName name="dfjdk" localSheetId="3" hidden="1">{TRUE,TRUE,4.75,-2,591,327,FALSE,TRUE,TRUE,TRUE,0,26,#N/A,1,#N/A,13.6909090909091,25.0666666666667,1,FALSE,FALSE,1,TRUE,1,FALSE,100,"Swvu.FRP_backlog2.","ACwvu.FRP_backlog2.",#N/A,FALSE,FALSE,1,1,1,0.75,2,"","&amp;L&amp;F&amp;C&amp;A&amp;R&amp;D",FALSE,FALSE,FALSE,FALSE,1,75,#N/A,#N/A,"=R1C1:R61C33","=C1:C4","Rwvu.FRP_backlog2.",#N/A,FALSE,FALSE,TRUE,1,4294967292,300,FALSE,FALSE,TRUE,TRUE,TRUE}</definedName>
    <definedName name="dfjdk" hidden="1">{TRUE,TRUE,4.75,-2,591,327,FALSE,TRUE,TRUE,TRUE,0,26,#N/A,1,#N/A,13.6909090909091,25.0666666666667,1,FALSE,FALSE,1,TRUE,1,FALSE,100,"Swvu.FRP_backlog2.","ACwvu.FRP_backlog2.",#N/A,FALSE,FALSE,1,1,1,0.75,2,"","&amp;L&amp;F&amp;C&amp;A&amp;R&amp;D",FALSE,FALSE,FALSE,FALSE,1,75,#N/A,#N/A,"=R1C1:R61C33","=C1:C4","Rwvu.FRP_backlog2.",#N/A,FALSE,FALSE,TRUE,1,4294967292,300,FALSE,FALSE,TRUE,TRUE,TRUE}</definedName>
    <definedName name="dfjdk_1" localSheetId="6" hidden="1">{TRUE,TRUE,4.75,-2,591,327,FALSE,TRUE,TRUE,TRUE,0,26,#N/A,1,#N/A,13.6909090909091,25.0666666666667,1,FALSE,FALSE,1,TRUE,1,FALSE,100,"Swvu.FRP_backlog2.","ACwvu.FRP_backlog2.",#N/A,FALSE,FALSE,1,1,1,0.75,2,"","&amp;L&amp;F&amp;C&amp;A&amp;R&amp;D",FALSE,FALSE,FALSE,FALSE,1,75,#N/A,#N/A,"=R1C1:R61C33","=C1:C4","Rwvu.FRP_backlog2.",#N/A,FALSE,FALSE,TRUE,1,4294967292,300,FALSE,FALSE,TRUE,TRUE,TRUE}</definedName>
    <definedName name="dfjdk_1" localSheetId="5" hidden="1">{TRUE,TRUE,4.75,-2,591,327,FALSE,TRUE,TRUE,TRUE,0,26,#N/A,1,#N/A,13.6909090909091,25.0666666666667,1,FALSE,FALSE,1,TRUE,1,FALSE,100,"Swvu.FRP_backlog2.","ACwvu.FRP_backlog2.",#N/A,FALSE,FALSE,1,1,1,0.75,2,"","&amp;L&amp;F&amp;C&amp;A&amp;R&amp;D",FALSE,FALSE,FALSE,FALSE,1,75,#N/A,#N/A,"=R1C1:R61C33","=C1:C4","Rwvu.FRP_backlog2.",#N/A,FALSE,FALSE,TRUE,1,4294967292,300,FALSE,FALSE,TRUE,TRUE,TRUE}</definedName>
    <definedName name="dfjdk_1" localSheetId="4" hidden="1">{TRUE,TRUE,4.75,-2,591,327,FALSE,TRUE,TRUE,TRUE,0,26,#N/A,1,#N/A,13.6909090909091,25.0666666666667,1,FALSE,FALSE,1,TRUE,1,FALSE,100,"Swvu.FRP_backlog2.","ACwvu.FRP_backlog2.",#N/A,FALSE,FALSE,1,1,1,0.75,2,"","&amp;L&amp;F&amp;C&amp;A&amp;R&amp;D",FALSE,FALSE,FALSE,FALSE,1,75,#N/A,#N/A,"=R1C1:R61C33","=C1:C4","Rwvu.FRP_backlog2.",#N/A,FALSE,FALSE,TRUE,1,4294967292,300,FALSE,FALSE,TRUE,TRUE,TRUE}</definedName>
    <definedName name="dfjdk_1" localSheetId="3" hidden="1">{TRUE,TRUE,4.75,-2,591,327,FALSE,TRUE,TRUE,TRUE,0,26,#N/A,1,#N/A,13.6909090909091,25.0666666666667,1,FALSE,FALSE,1,TRUE,1,FALSE,100,"Swvu.FRP_backlog2.","ACwvu.FRP_backlog2.",#N/A,FALSE,FALSE,1,1,1,0.75,2,"","&amp;L&amp;F&amp;C&amp;A&amp;R&amp;D",FALSE,FALSE,FALSE,FALSE,1,75,#N/A,#N/A,"=R1C1:R61C33","=C1:C4","Rwvu.FRP_backlog2.",#N/A,FALSE,FALSE,TRUE,1,4294967292,300,FALSE,FALSE,TRUE,TRUE,TRUE}</definedName>
    <definedName name="dfjdk_1" hidden="1">{TRUE,TRUE,4.75,-2,591,327,FALSE,TRUE,TRUE,TRUE,0,26,#N/A,1,#N/A,13.6909090909091,25.0666666666667,1,FALSE,FALSE,1,TRUE,1,FALSE,100,"Swvu.FRP_backlog2.","ACwvu.FRP_backlog2.",#N/A,FALSE,FALSE,1,1,1,0.75,2,"","&amp;L&amp;F&amp;C&amp;A&amp;R&amp;D",FALSE,FALSE,FALSE,FALSE,1,75,#N/A,#N/A,"=R1C1:R61C33","=C1:C4","Rwvu.FRP_backlog2.",#N/A,FALSE,FALSE,TRUE,1,4294967292,300,FALSE,FALSE,TRUE,TRUE,TRUE}</definedName>
    <definedName name="DivisionList">[16]Parameters!$I$3:$I$9</definedName>
    <definedName name="e" localSheetId="6" hidden="1">{"Test",#N/A,FALSE,"Index";#N/A,"RISK",FALSE,"MarketProjection"}</definedName>
    <definedName name="e" localSheetId="5" hidden="1">{"Test",#N/A,FALSE,"Index";#N/A,"RISK",FALSE,"MarketProjection"}</definedName>
    <definedName name="e" localSheetId="4" hidden="1">{"Test",#N/A,FALSE,"Index";#N/A,"RISK",FALSE,"MarketProjection"}</definedName>
    <definedName name="e" localSheetId="3" hidden="1">{"Test",#N/A,FALSE,"Index";#N/A,"RISK",FALSE,"MarketProjection"}</definedName>
    <definedName name="e" hidden="1">{"Test",#N/A,FALSE,"Index";#N/A,"RISK",FALSE,"MarketProjection"}</definedName>
    <definedName name="e_1" localSheetId="6" hidden="1">{"Test",#N/A,FALSE,"Index";#N/A,"RISK",FALSE,"MarketProjection"}</definedName>
    <definedName name="e_1" localSheetId="5" hidden="1">{"Test",#N/A,FALSE,"Index";#N/A,"RISK",FALSE,"MarketProjection"}</definedName>
    <definedName name="e_1" localSheetId="4" hidden="1">{"Test",#N/A,FALSE,"Index";#N/A,"RISK",FALSE,"MarketProjection"}</definedName>
    <definedName name="e_1" localSheetId="3" hidden="1">{"Test",#N/A,FALSE,"Index";#N/A,"RISK",FALSE,"MarketProjection"}</definedName>
    <definedName name="e_1" hidden="1">{"Test",#N/A,FALSE,"Index";#N/A,"RISK",FALSE,"MarketProjection"}</definedName>
    <definedName name="ed" localSheetId="6" hidden="1">{#N/A,#N/A,FALSE,"FAB VENDORS";"BUD SUM",#N/A,FALSE,"BUD SUM WO TEX"}</definedName>
    <definedName name="ed" localSheetId="5" hidden="1">{#N/A,#N/A,FALSE,"FAB VENDORS";"BUD SUM",#N/A,FALSE,"BUD SUM WO TEX"}</definedName>
    <definedName name="ed" localSheetId="4" hidden="1">{#N/A,#N/A,FALSE,"FAB VENDORS";"BUD SUM",#N/A,FALSE,"BUD SUM WO TEX"}</definedName>
    <definedName name="ed" localSheetId="3" hidden="1">{#N/A,#N/A,FALSE,"FAB VENDORS";"BUD SUM",#N/A,FALSE,"BUD SUM WO TEX"}</definedName>
    <definedName name="ed" hidden="1">{#N/A,#N/A,FALSE,"FAB VENDORS";"BUD SUM",#N/A,FALSE,"BUD SUM WO TEX"}</definedName>
    <definedName name="ed_1" localSheetId="6" hidden="1">{#N/A,#N/A,FALSE,"FAB VENDORS";"BUD SUM",#N/A,FALSE,"BUD SUM WO TEX"}</definedName>
    <definedName name="ed_1" localSheetId="5" hidden="1">{#N/A,#N/A,FALSE,"FAB VENDORS";"BUD SUM",#N/A,FALSE,"BUD SUM WO TEX"}</definedName>
    <definedName name="ed_1" localSheetId="4" hidden="1">{#N/A,#N/A,FALSE,"FAB VENDORS";"BUD SUM",#N/A,FALSE,"BUD SUM WO TEX"}</definedName>
    <definedName name="ed_1" localSheetId="3" hidden="1">{#N/A,#N/A,FALSE,"FAB VENDORS";"BUD SUM",#N/A,FALSE,"BUD SUM WO TEX"}</definedName>
    <definedName name="ed_1" hidden="1">{#N/A,#N/A,FALSE,"FAB VENDORS";"BUD SUM",#N/A,FALSE,"BUD SUM WO TEX"}</definedName>
    <definedName name="epsltm" hidden="1">'[14]WP_Hist ABC'!#REF!</definedName>
    <definedName name="errrr" localSheetId="6" hidden="1">{"CSC_1",#N/A,FALSE,"CSC Outputs";"CSC_2",#N/A,FALSE,"CSC Outputs"}</definedName>
    <definedName name="errrr" localSheetId="5" hidden="1">{"CSC_1",#N/A,FALSE,"CSC Outputs";"CSC_2",#N/A,FALSE,"CSC Outputs"}</definedName>
    <definedName name="errrr" localSheetId="4" hidden="1">{"CSC_1",#N/A,FALSE,"CSC Outputs";"CSC_2",#N/A,FALSE,"CSC Outputs"}</definedName>
    <definedName name="errrr" localSheetId="3" hidden="1">{"CSC_1",#N/A,FALSE,"CSC Outputs";"CSC_2",#N/A,FALSE,"CSC Outputs"}</definedName>
    <definedName name="errrr" hidden="1">{"CSC_1",#N/A,FALSE,"CSC Outputs";"CSC_2",#N/A,FALSE,"CSC Outputs"}</definedName>
    <definedName name="errrr_1" localSheetId="6" hidden="1">{"CSC_1",#N/A,FALSE,"CSC Outputs";"CSC_2",#N/A,FALSE,"CSC Outputs"}</definedName>
    <definedName name="errrr_1" localSheetId="5" hidden="1">{"CSC_1",#N/A,FALSE,"CSC Outputs";"CSC_2",#N/A,FALSE,"CSC Outputs"}</definedName>
    <definedName name="errrr_1" localSheetId="4" hidden="1">{"CSC_1",#N/A,FALSE,"CSC Outputs";"CSC_2",#N/A,FALSE,"CSC Outputs"}</definedName>
    <definedName name="errrr_1" localSheetId="3" hidden="1">{"CSC_1",#N/A,FALSE,"CSC Outputs";"CSC_2",#N/A,FALSE,"CSC Outputs"}</definedName>
    <definedName name="errrr_1" hidden="1">{"CSC_1",#N/A,FALSE,"CSC Outputs";"CSC_2",#N/A,FALSE,"CSC Outputs"}</definedName>
    <definedName name="ev.Calculation" hidden="1">-4135</definedName>
    <definedName name="ev.Initialized" hidden="1">FALSE</definedName>
    <definedName name="ExbMult_Total" localSheetId="6" hidden="1">#REF!</definedName>
    <definedName name="ExbMult_Total" localSheetId="5" hidden="1">#REF!</definedName>
    <definedName name="ExbMult_Total" localSheetId="4" hidden="1">#REF!</definedName>
    <definedName name="ExbMult_Total" localSheetId="3" hidden="1">#REF!</definedName>
    <definedName name="ExbMult_Total" hidden="1">#REF!</definedName>
    <definedName name="exbnumlist" hidden="1">[17]Inputs!$A$70:$B$88</definedName>
    <definedName name="ExpensesList">[16]Parameters!$N$3:$N$20</definedName>
    <definedName name="Extra_Months">[22]Index!$D$2:$J$14</definedName>
    <definedName name="finres" localSheetId="6" hidden="1">#REF!</definedName>
    <definedName name="finres" localSheetId="5" hidden="1">#REF!</definedName>
    <definedName name="finres" localSheetId="4" hidden="1">#REF!</definedName>
    <definedName name="finres" localSheetId="3" hidden="1">#REF!</definedName>
    <definedName name="finres" hidden="1">#REF!</definedName>
    <definedName name="ghuhu" localSheetId="6" hidden="1">{#N/A,#N/A,FALSE,"contents";#N/A,#N/A,FALSE,"Balance sheet";#N/A,#N/A,FALSE,"income";#N/A,#N/A,FALSE,"Cash-flow";#N/A,#N/A,FALSE,"Equity";#N/A,#N/A,FALSE,"Notes";#N/A,#N/A,FALSE,"Supplemental"}</definedName>
    <definedName name="ghuhu" localSheetId="5" hidden="1">{#N/A,#N/A,FALSE,"contents";#N/A,#N/A,FALSE,"Balance sheet";#N/A,#N/A,FALSE,"income";#N/A,#N/A,FALSE,"Cash-flow";#N/A,#N/A,FALSE,"Equity";#N/A,#N/A,FALSE,"Notes";#N/A,#N/A,FALSE,"Supplemental"}</definedName>
    <definedName name="ghuhu" localSheetId="4" hidden="1">{#N/A,#N/A,FALSE,"contents";#N/A,#N/A,FALSE,"Balance sheet";#N/A,#N/A,FALSE,"income";#N/A,#N/A,FALSE,"Cash-flow";#N/A,#N/A,FALSE,"Equity";#N/A,#N/A,FALSE,"Notes";#N/A,#N/A,FALSE,"Supplemental"}</definedName>
    <definedName name="ghuhu" localSheetId="3" hidden="1">{#N/A,#N/A,FALSE,"contents";#N/A,#N/A,FALSE,"Balance sheet";#N/A,#N/A,FALSE,"income";#N/A,#N/A,FALSE,"Cash-flow";#N/A,#N/A,FALSE,"Equity";#N/A,#N/A,FALSE,"Notes";#N/A,#N/A,FALSE,"Supplemental"}</definedName>
    <definedName name="ghuhu" hidden="1">{#N/A,#N/A,FALSE,"contents";#N/A,#N/A,FALSE,"Balance sheet";#N/A,#N/A,FALSE,"income";#N/A,#N/A,FALSE,"Cash-flow";#N/A,#N/A,FALSE,"Equity";#N/A,#N/A,FALSE,"Notes";#N/A,#N/A,FALSE,"Supplemental"}</definedName>
    <definedName name="ghuhu_1" localSheetId="6" hidden="1">{#N/A,#N/A,FALSE,"contents";#N/A,#N/A,FALSE,"Balance sheet";#N/A,#N/A,FALSE,"income";#N/A,#N/A,FALSE,"Cash-flow";#N/A,#N/A,FALSE,"Equity";#N/A,#N/A,FALSE,"Notes";#N/A,#N/A,FALSE,"Supplemental"}</definedName>
    <definedName name="ghuhu_1" localSheetId="5" hidden="1">{#N/A,#N/A,FALSE,"contents";#N/A,#N/A,FALSE,"Balance sheet";#N/A,#N/A,FALSE,"income";#N/A,#N/A,FALSE,"Cash-flow";#N/A,#N/A,FALSE,"Equity";#N/A,#N/A,FALSE,"Notes";#N/A,#N/A,FALSE,"Supplemental"}</definedName>
    <definedName name="ghuhu_1" localSheetId="4" hidden="1">{#N/A,#N/A,FALSE,"contents";#N/A,#N/A,FALSE,"Balance sheet";#N/A,#N/A,FALSE,"income";#N/A,#N/A,FALSE,"Cash-flow";#N/A,#N/A,FALSE,"Equity";#N/A,#N/A,FALSE,"Notes";#N/A,#N/A,FALSE,"Supplemental"}</definedName>
    <definedName name="ghuhu_1" localSheetId="3" hidden="1">{#N/A,#N/A,FALSE,"contents";#N/A,#N/A,FALSE,"Balance sheet";#N/A,#N/A,FALSE,"income";#N/A,#N/A,FALSE,"Cash-flow";#N/A,#N/A,FALSE,"Equity";#N/A,#N/A,FALSE,"Notes";#N/A,#N/A,FALSE,"Supplemental"}</definedName>
    <definedName name="ghuhu_1" hidden="1">{#N/A,#N/A,FALSE,"contents";#N/A,#N/A,FALSE,"Balance sheet";#N/A,#N/A,FALSE,"income";#N/A,#N/A,FALSE,"Cash-flow";#N/A,#N/A,FALSE,"Equity";#N/A,#N/A,FALSE,"Notes";#N/A,#N/A,FALSE,"Supplemental"}</definedName>
    <definedName name="gmcol" localSheetId="6" hidden="1">#REF!</definedName>
    <definedName name="gmcol" localSheetId="5" hidden="1">#REF!</definedName>
    <definedName name="gmcol" localSheetId="4" hidden="1">#REF!</definedName>
    <definedName name="gmcol" localSheetId="3" hidden="1">#REF!</definedName>
    <definedName name="gmcol" hidden="1">#REF!</definedName>
    <definedName name="goodbye" localSheetId="6" hidden="1">{#N/A,#N/A,FALSE,"A&amp;E";#N/A,#N/A,FALSE,"HighTop";#N/A,#N/A,FALSE,"JG";#N/A,#N/A,FALSE,"RI";#N/A,#N/A,FALSE,"woHT";#N/A,#N/A,FALSE,"woHT&amp;JG"}</definedName>
    <definedName name="goodbye" localSheetId="5" hidden="1">{#N/A,#N/A,FALSE,"A&amp;E";#N/A,#N/A,FALSE,"HighTop";#N/A,#N/A,FALSE,"JG";#N/A,#N/A,FALSE,"RI";#N/A,#N/A,FALSE,"woHT";#N/A,#N/A,FALSE,"woHT&amp;JG"}</definedName>
    <definedName name="goodbye" localSheetId="4" hidden="1">{#N/A,#N/A,FALSE,"A&amp;E";#N/A,#N/A,FALSE,"HighTop";#N/A,#N/A,FALSE,"JG";#N/A,#N/A,FALSE,"RI";#N/A,#N/A,FALSE,"woHT";#N/A,#N/A,FALSE,"woHT&amp;JG"}</definedName>
    <definedName name="goodbye" localSheetId="3" hidden="1">{#N/A,#N/A,FALSE,"A&amp;E";#N/A,#N/A,FALSE,"HighTop";#N/A,#N/A,FALSE,"JG";#N/A,#N/A,FALSE,"RI";#N/A,#N/A,FALSE,"woHT";#N/A,#N/A,FALSE,"woHT&amp;JG"}</definedName>
    <definedName name="goodbye" hidden="1">{#N/A,#N/A,FALSE,"A&amp;E";#N/A,#N/A,FALSE,"HighTop";#N/A,#N/A,FALSE,"JG";#N/A,#N/A,FALSE,"RI";#N/A,#N/A,FALSE,"woHT";#N/A,#N/A,FALSE,"woHT&amp;JG"}</definedName>
    <definedName name="goodbye_1" localSheetId="6" hidden="1">{#N/A,#N/A,FALSE,"A&amp;E";#N/A,#N/A,FALSE,"HighTop";#N/A,#N/A,FALSE,"JG";#N/A,#N/A,FALSE,"RI";#N/A,#N/A,FALSE,"woHT";#N/A,#N/A,FALSE,"woHT&amp;JG"}</definedName>
    <definedName name="goodbye_1" localSheetId="5" hidden="1">{#N/A,#N/A,FALSE,"A&amp;E";#N/A,#N/A,FALSE,"HighTop";#N/A,#N/A,FALSE,"JG";#N/A,#N/A,FALSE,"RI";#N/A,#N/A,FALSE,"woHT";#N/A,#N/A,FALSE,"woHT&amp;JG"}</definedName>
    <definedName name="goodbye_1" localSheetId="4" hidden="1">{#N/A,#N/A,FALSE,"A&amp;E";#N/A,#N/A,FALSE,"HighTop";#N/A,#N/A,FALSE,"JG";#N/A,#N/A,FALSE,"RI";#N/A,#N/A,FALSE,"woHT";#N/A,#N/A,FALSE,"woHT&amp;JG"}</definedName>
    <definedName name="goodbye_1" localSheetId="3" hidden="1">{#N/A,#N/A,FALSE,"A&amp;E";#N/A,#N/A,FALSE,"HighTop";#N/A,#N/A,FALSE,"JG";#N/A,#N/A,FALSE,"RI";#N/A,#N/A,FALSE,"woHT";#N/A,#N/A,FALSE,"woHT&amp;JG"}</definedName>
    <definedName name="goodbye_1" hidden="1">{#N/A,#N/A,FALSE,"A&amp;E";#N/A,#N/A,FALSE,"HighTop";#N/A,#N/A,FALSE,"JG";#N/A,#N/A,FALSE,"RI";#N/A,#N/A,FALSE,"woHT";#N/A,#N/A,FALSE,"woHT&amp;JG"}</definedName>
    <definedName name="grossnetdebt" hidden="1">[18]KeyMultInputs!$AB$1</definedName>
    <definedName name="HTML_CodePage" hidden="1">1252</definedName>
    <definedName name="HTML_Control" localSheetId="6" hidden="1">{"'Aug Rev Area'!$A$4:$J$120"}</definedName>
    <definedName name="HTML_Control" localSheetId="5" hidden="1">{"'Aug Rev Area'!$A$4:$J$120"}</definedName>
    <definedName name="HTML_Control" localSheetId="4" hidden="1">{"'Aug Rev Area'!$A$4:$J$120"}</definedName>
    <definedName name="HTML_Control" localSheetId="3" hidden="1">{"'Aug Rev Area'!$A$4:$J$120"}</definedName>
    <definedName name="HTML_Control" hidden="1">{"'Aug Rev Area'!$A$4:$J$120"}</definedName>
    <definedName name="HTML_Control_1" localSheetId="6" hidden="1">{"'Aug Rev Area'!$A$4:$J$120"}</definedName>
    <definedName name="HTML_Control_1" localSheetId="5" hidden="1">{"'Aug Rev Area'!$A$4:$J$120"}</definedName>
    <definedName name="HTML_Control_1" localSheetId="4" hidden="1">{"'Aug Rev Area'!$A$4:$J$120"}</definedName>
    <definedName name="HTML_Control_1" localSheetId="3" hidden="1">{"'Aug Rev Area'!$A$4:$J$120"}</definedName>
    <definedName name="HTML_Control_1" hidden="1">{"'Aug Rev Area'!$A$4:$J$120"}</definedName>
    <definedName name="HTML_Description" hidden="1">"COMPANY CONFIDENTIAL"</definedName>
    <definedName name="HTML_Email" hidden="1">"mroberts"</definedName>
    <definedName name="HTML_Header" hidden="1">"Aug Rev Area"</definedName>
    <definedName name="HTML_LastUpdate" hidden="1">"8/27/97"</definedName>
    <definedName name="HTML_LineAfter" hidden="1">TRUE</definedName>
    <definedName name="HTML_LineBefore" hidden="1">FALSE</definedName>
    <definedName name="HTML_Name" hidden="1">"Matt Roberts"</definedName>
    <definedName name="HTML_OBDlg2" hidden="1">TRUE</definedName>
    <definedName name="HTML_OBDlg4" hidden="1">TRUE</definedName>
    <definedName name="HTML_OS" hidden="1">0</definedName>
    <definedName name="HTML_PathFile" hidden="1">"E:\groups\Accounting\wwwi\0897 Revenue Detail.htm"</definedName>
    <definedName name="HTML_PathFileMac" hidden="1">"Macintosh HD:HomePageStuff:pc:datasets:implprem.html"</definedName>
    <definedName name="HTML_Title" hidden="1">"Q3RevDetail827"</definedName>
    <definedName name="HTML1_1" hidden="1">"[RiskPremiumUS]Sheet1!$A$1:$M$38"</definedName>
    <definedName name="HTML1_10" hidden="1">""</definedName>
    <definedName name="HTML1_11" hidden="1">1</definedName>
    <definedName name="HTML1_12" hidden="1">"Zip 100:New_Home_Page:datafile:implpr.html"</definedName>
    <definedName name="HTML1_2" hidden="1">1</definedName>
    <definedName name="HTML1_3" hidden="1">"RiskPremiumUS"</definedName>
    <definedName name="HTML1_4" hidden="1">"Implied Risk Premiums for US"</definedName>
    <definedName name="HTML1_5" hidden="1">""</definedName>
    <definedName name="HTML1_6" hidden="1">-4146</definedName>
    <definedName name="HTML1_7" hidden="1">-4146</definedName>
    <definedName name="HTML1_8" hidden="1">"3/19/97"</definedName>
    <definedName name="HTML1_9" hidden="1">"Aswath Damodaran"</definedName>
    <definedName name="HTMLCount" hidden="1">1</definedName>
    <definedName name="ibesgrowth" localSheetId="6" hidden="1">#REF!</definedName>
    <definedName name="ibesgrowth" localSheetId="5" hidden="1">#REF!</definedName>
    <definedName name="ibesgrowth" localSheetId="4" hidden="1">#REF!</definedName>
    <definedName name="ibesgrowth" localSheetId="3" hidden="1">#REF!</definedName>
    <definedName name="ibesgrowth" hidden="1">#REF!</definedName>
    <definedName name="ibestable" localSheetId="6" hidden="1">#REF!</definedName>
    <definedName name="ibestable" localSheetId="5" hidden="1">#REF!</definedName>
    <definedName name="ibestable" localSheetId="4" hidden="1">#REF!</definedName>
    <definedName name="ibestable" localSheetId="3" hidden="1">#REF!</definedName>
    <definedName name="ibestable" hidden="1">#REF!</definedName>
    <definedName name="io" localSheetId="6" hidden="1">{"summary1",#N/A,FALSE,"Summary of Values";"weighted average returns",#N/A,FALSE,"WACC and WARA";"revenue graph",#N/A,FALSE,"Revenue Graph";"historical acquirer",#N/A,FALSE,"Historical Performance";"historical target",#N/A,FALSE,"Historical Performance";"revenue detail 1",#N/A,FALSE,"Revenue Detail";"revenue detail 2",#N/A,FALSE,"Revenue Detail";"revenue detail 3",#N/A,FALSE,"Revenue Detail";"revenue detail 4",#N/A,FALSE,"Revenue Detail";"gross_margin1",#N/A,FALSE,"Gross Margin Detail";"gross_margin2",#N/A,FALSE,"Gross Margin Detail";"developed income statement",#N/A,FALSE,"Abbreviated Income Statement";"inprocess income statement",#N/A,FALSE,"Abbreviated Income Statement";"developed valuation",#N/A,FALSE,"Valuation Analysis";"inprocess valuation",#N/A,FALSE,"Valuation Analysis";"trademark1",#N/A,FALSE,"Trademark(s) and Trade Name(s)";"contributory1",#N/A,FALSE,"Contributory Assets Detail";"contributory2",#N/A,FALSE,"Contributory Assets Detail";"fixed asset detail",#N/A,FALSE,"Fixed Asset Detail"}</definedName>
    <definedName name="io" localSheetId="5" hidden="1">{"summary1",#N/A,FALSE,"Summary of Values";"weighted average returns",#N/A,FALSE,"WACC and WARA";"revenue graph",#N/A,FALSE,"Revenue Graph";"historical acquirer",#N/A,FALSE,"Historical Performance";"historical target",#N/A,FALSE,"Historical Performance";"revenue detail 1",#N/A,FALSE,"Revenue Detail";"revenue detail 2",#N/A,FALSE,"Revenue Detail";"revenue detail 3",#N/A,FALSE,"Revenue Detail";"revenue detail 4",#N/A,FALSE,"Revenue Detail";"gross_margin1",#N/A,FALSE,"Gross Margin Detail";"gross_margin2",#N/A,FALSE,"Gross Margin Detail";"developed income statement",#N/A,FALSE,"Abbreviated Income Statement";"inprocess income statement",#N/A,FALSE,"Abbreviated Income Statement";"developed valuation",#N/A,FALSE,"Valuation Analysis";"inprocess valuation",#N/A,FALSE,"Valuation Analysis";"trademark1",#N/A,FALSE,"Trademark(s) and Trade Name(s)";"contributory1",#N/A,FALSE,"Contributory Assets Detail";"contributory2",#N/A,FALSE,"Contributory Assets Detail";"fixed asset detail",#N/A,FALSE,"Fixed Asset Detail"}</definedName>
    <definedName name="io" localSheetId="4" hidden="1">{"summary1",#N/A,FALSE,"Summary of Values";"weighted average returns",#N/A,FALSE,"WACC and WARA";"revenue graph",#N/A,FALSE,"Revenue Graph";"historical acquirer",#N/A,FALSE,"Historical Performance";"historical target",#N/A,FALSE,"Historical Performance";"revenue detail 1",#N/A,FALSE,"Revenue Detail";"revenue detail 2",#N/A,FALSE,"Revenue Detail";"revenue detail 3",#N/A,FALSE,"Revenue Detail";"revenue detail 4",#N/A,FALSE,"Revenue Detail";"gross_margin1",#N/A,FALSE,"Gross Margin Detail";"gross_margin2",#N/A,FALSE,"Gross Margin Detail";"developed income statement",#N/A,FALSE,"Abbreviated Income Statement";"inprocess income statement",#N/A,FALSE,"Abbreviated Income Statement";"developed valuation",#N/A,FALSE,"Valuation Analysis";"inprocess valuation",#N/A,FALSE,"Valuation Analysis";"trademark1",#N/A,FALSE,"Trademark(s) and Trade Name(s)";"contributory1",#N/A,FALSE,"Contributory Assets Detail";"contributory2",#N/A,FALSE,"Contributory Assets Detail";"fixed asset detail",#N/A,FALSE,"Fixed Asset Detail"}</definedName>
    <definedName name="io" localSheetId="3" hidden="1">{"summary1",#N/A,FALSE,"Summary of Values";"weighted average returns",#N/A,FALSE,"WACC and WARA";"revenue graph",#N/A,FALSE,"Revenue Graph";"historical acquirer",#N/A,FALSE,"Historical Performance";"historical target",#N/A,FALSE,"Historical Performance";"revenue detail 1",#N/A,FALSE,"Revenue Detail";"revenue detail 2",#N/A,FALSE,"Revenue Detail";"revenue detail 3",#N/A,FALSE,"Revenue Detail";"revenue detail 4",#N/A,FALSE,"Revenue Detail";"gross_margin1",#N/A,FALSE,"Gross Margin Detail";"gross_margin2",#N/A,FALSE,"Gross Margin Detail";"developed income statement",#N/A,FALSE,"Abbreviated Income Statement";"inprocess income statement",#N/A,FALSE,"Abbreviated Income Statement";"developed valuation",#N/A,FALSE,"Valuation Analysis";"inprocess valuation",#N/A,FALSE,"Valuation Analysis";"trademark1",#N/A,FALSE,"Trademark(s) and Trade Name(s)";"contributory1",#N/A,FALSE,"Contributory Assets Detail";"contributory2",#N/A,FALSE,"Contributory Assets Detail";"fixed asset detail",#N/A,FALSE,"Fixed Asset Detail"}</definedName>
    <definedName name="io" hidden="1">{"summary1",#N/A,FALSE,"Summary of Values";"weighted average returns",#N/A,FALSE,"WACC and WARA";"revenue graph",#N/A,FALSE,"Revenue Graph";"historical acquirer",#N/A,FALSE,"Historical Performance";"historical target",#N/A,FALSE,"Historical Performance";"revenue detail 1",#N/A,FALSE,"Revenue Detail";"revenue detail 2",#N/A,FALSE,"Revenue Detail";"revenue detail 3",#N/A,FALSE,"Revenue Detail";"revenue detail 4",#N/A,FALSE,"Revenue Detail";"gross_margin1",#N/A,FALSE,"Gross Margin Detail";"gross_margin2",#N/A,FALSE,"Gross Margin Detail";"developed income statement",#N/A,FALSE,"Abbreviated Income Statement";"inprocess income statement",#N/A,FALSE,"Abbreviated Income Statement";"developed valuation",#N/A,FALSE,"Valuation Analysis";"inprocess valuation",#N/A,FALSE,"Valuation Analysis";"trademark1",#N/A,FALSE,"Trademark(s) and Trade Name(s)";"contributory1",#N/A,FALSE,"Contributory Assets Detail";"contributory2",#N/A,FALSE,"Contributory Assets Detail";"fixed asset detail",#N/A,FALSE,"Fixed Asset Detail"}</definedName>
    <definedName name="io_1" localSheetId="6" hidden="1">{"summary1",#N/A,FALSE,"Summary of Values";"weighted average returns",#N/A,FALSE,"WACC and WARA";"revenue graph",#N/A,FALSE,"Revenue Graph";"historical acquirer",#N/A,FALSE,"Historical Performance";"historical target",#N/A,FALSE,"Historical Performance";"revenue detail 1",#N/A,FALSE,"Revenue Detail";"revenue detail 2",#N/A,FALSE,"Revenue Detail";"revenue detail 3",#N/A,FALSE,"Revenue Detail";"revenue detail 4",#N/A,FALSE,"Revenue Detail";"gross_margin1",#N/A,FALSE,"Gross Margin Detail";"gross_margin2",#N/A,FALSE,"Gross Margin Detail";"developed income statement",#N/A,FALSE,"Abbreviated Income Statement";"inprocess income statement",#N/A,FALSE,"Abbreviated Income Statement";"developed valuation",#N/A,FALSE,"Valuation Analysis";"inprocess valuation",#N/A,FALSE,"Valuation Analysis";"trademark1",#N/A,FALSE,"Trademark(s) and Trade Name(s)";"contributory1",#N/A,FALSE,"Contributory Assets Detail";"contributory2",#N/A,FALSE,"Contributory Assets Detail";"fixed asset detail",#N/A,FALSE,"Fixed Asset Detail"}</definedName>
    <definedName name="io_1" localSheetId="5" hidden="1">{"summary1",#N/A,FALSE,"Summary of Values";"weighted average returns",#N/A,FALSE,"WACC and WARA";"revenue graph",#N/A,FALSE,"Revenue Graph";"historical acquirer",#N/A,FALSE,"Historical Performance";"historical target",#N/A,FALSE,"Historical Performance";"revenue detail 1",#N/A,FALSE,"Revenue Detail";"revenue detail 2",#N/A,FALSE,"Revenue Detail";"revenue detail 3",#N/A,FALSE,"Revenue Detail";"revenue detail 4",#N/A,FALSE,"Revenue Detail";"gross_margin1",#N/A,FALSE,"Gross Margin Detail";"gross_margin2",#N/A,FALSE,"Gross Margin Detail";"developed income statement",#N/A,FALSE,"Abbreviated Income Statement";"inprocess income statement",#N/A,FALSE,"Abbreviated Income Statement";"developed valuation",#N/A,FALSE,"Valuation Analysis";"inprocess valuation",#N/A,FALSE,"Valuation Analysis";"trademark1",#N/A,FALSE,"Trademark(s) and Trade Name(s)";"contributory1",#N/A,FALSE,"Contributory Assets Detail";"contributory2",#N/A,FALSE,"Contributory Assets Detail";"fixed asset detail",#N/A,FALSE,"Fixed Asset Detail"}</definedName>
    <definedName name="io_1" localSheetId="4" hidden="1">{"summary1",#N/A,FALSE,"Summary of Values";"weighted average returns",#N/A,FALSE,"WACC and WARA";"revenue graph",#N/A,FALSE,"Revenue Graph";"historical acquirer",#N/A,FALSE,"Historical Performance";"historical target",#N/A,FALSE,"Historical Performance";"revenue detail 1",#N/A,FALSE,"Revenue Detail";"revenue detail 2",#N/A,FALSE,"Revenue Detail";"revenue detail 3",#N/A,FALSE,"Revenue Detail";"revenue detail 4",#N/A,FALSE,"Revenue Detail";"gross_margin1",#N/A,FALSE,"Gross Margin Detail";"gross_margin2",#N/A,FALSE,"Gross Margin Detail";"developed income statement",#N/A,FALSE,"Abbreviated Income Statement";"inprocess income statement",#N/A,FALSE,"Abbreviated Income Statement";"developed valuation",#N/A,FALSE,"Valuation Analysis";"inprocess valuation",#N/A,FALSE,"Valuation Analysis";"trademark1",#N/A,FALSE,"Trademark(s) and Trade Name(s)";"contributory1",#N/A,FALSE,"Contributory Assets Detail";"contributory2",#N/A,FALSE,"Contributory Assets Detail";"fixed asset detail",#N/A,FALSE,"Fixed Asset Detail"}</definedName>
    <definedName name="io_1" localSheetId="3" hidden="1">{"summary1",#N/A,FALSE,"Summary of Values";"weighted average returns",#N/A,FALSE,"WACC and WARA";"revenue graph",#N/A,FALSE,"Revenue Graph";"historical acquirer",#N/A,FALSE,"Historical Performance";"historical target",#N/A,FALSE,"Historical Performance";"revenue detail 1",#N/A,FALSE,"Revenue Detail";"revenue detail 2",#N/A,FALSE,"Revenue Detail";"revenue detail 3",#N/A,FALSE,"Revenue Detail";"revenue detail 4",#N/A,FALSE,"Revenue Detail";"gross_margin1",#N/A,FALSE,"Gross Margin Detail";"gross_margin2",#N/A,FALSE,"Gross Margin Detail";"developed income statement",#N/A,FALSE,"Abbreviated Income Statement";"inprocess income statement",#N/A,FALSE,"Abbreviated Income Statement";"developed valuation",#N/A,FALSE,"Valuation Analysis";"inprocess valuation",#N/A,FALSE,"Valuation Analysis";"trademark1",#N/A,FALSE,"Trademark(s) and Trade Name(s)";"contributory1",#N/A,FALSE,"Contributory Assets Detail";"contributory2",#N/A,FALSE,"Contributory Assets Detail";"fixed asset detail",#N/A,FALSE,"Fixed Asset Detail"}</definedName>
    <definedName name="io_1" hidden="1">{"summary1",#N/A,FALSE,"Summary of Values";"weighted average returns",#N/A,FALSE,"WACC and WARA";"revenue graph",#N/A,FALSE,"Revenue Graph";"historical acquirer",#N/A,FALSE,"Historical Performance";"historical target",#N/A,FALSE,"Historical Performance";"revenue detail 1",#N/A,FALSE,"Revenue Detail";"revenue detail 2",#N/A,FALSE,"Revenue Detail";"revenue detail 3",#N/A,FALSE,"Revenue Detail";"revenue detail 4",#N/A,FALSE,"Revenue Detail";"gross_margin1",#N/A,FALSE,"Gross Margin Detail";"gross_margin2",#N/A,FALSE,"Gross Margin Detail";"developed income statement",#N/A,FALSE,"Abbreviated Income Statement";"inprocess income statement",#N/A,FALSE,"Abbreviated Income Statement";"developed valuation",#N/A,FALSE,"Valuation Analysis";"inprocess valuation",#N/A,FALSE,"Valuation Analysis";"trademark1",#N/A,FALSE,"Trademark(s) and Trade Name(s)";"contributory1",#N/A,FALSE,"Contributory Assets Detail";"contributory2",#N/A,FALSE,"Contributory Assets Detail";"fixed asset detail",#N/A,FALSE,"Fixed Asset Detail"}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BROKER_REC_NO_REUT" hidden="1">"c5315"</definedName>
    <definedName name="IQ_AVG_BROKER_REC_REUT" hidden="1">"c3630"</definedName>
    <definedName name="IQ_AVG_DAILY_VOL" hidden="1">"c65"</definedName>
    <definedName name="IQ_AVG_INDUSTRY_REC" hidden="1">"c4455"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ROK_COMMISSION" hidden="1">"c3514"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REV" hidden="1">"c4068"</definedName>
    <definedName name="IQ_BUS_SEG_REV_ABS" hidden="1">"c4090"</definedName>
    <definedName name="IQ_BUS_SEG_REV_TOTAL" hidden="1">"c4106"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C_TYPE_BS" hidden="1">"c3086"</definedName>
    <definedName name="IQ_CALC_TYPE_CF" hidden="1">"c3085"</definedName>
    <definedName name="IQ_CALC_TYPE_IS" hidden="1">"c3084"</definedName>
    <definedName name="IQ_CALL_FEATURE" hidden="1">"c2197"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FLOW_ACT_OR_EST" hidden="1">"c4154"</definedName>
    <definedName name="IQ_CASH_INTEREST" hidden="1">"c120"</definedName>
    <definedName name="IQ_CASH_INVEST" hidden="1">"c121"</definedName>
    <definedName name="IQ_CASH_OPER" hidden="1">"c122"</definedName>
    <definedName name="IQ_CASH_OPER_ACT_OR_EST" hidden="1">"c4164"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PREMIUM" hidden="1">"c2195"</definedName>
    <definedName name="IQ_CONV_PRICE" hidden="1">"c2193"</definedName>
    <definedName name="IQ_CONV_RATE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OSITS_INTEREST_SECURITIES" hidden="1">"c5509"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PAYOUT" hidden="1">"c3005"</definedName>
    <definedName name="IQ_DISTRIBUTABLE_CASH_SHARE" hidden="1">"c3003"</definedName>
    <definedName name="IQ_DISTRIBUTABLE_CASH_SHARE_ACT_OR_EST" hidden="1">"c4286"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REUT" hidden="1">"c5314"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EQ_INC" hidden="1">"c3498"</definedName>
    <definedName name="IQ_EBIT_EQ_INC_EXCL_SBC" hidden="1">"c3502"</definedName>
    <definedName name="IQ_EBIT_EXCL_SBC" hidden="1">"c3082"</definedName>
    <definedName name="IQ_EBIT_GW_ACT_OR_EST" hidden="1">"c4306"</definedName>
    <definedName name="IQ_EBIT_INT" hidden="1">"c360"</definedName>
    <definedName name="IQ_EBIT_MARGIN" hidden="1">"c359"</definedName>
    <definedName name="IQ_EBIT_OVER_IE" hidden="1">"c1369"</definedName>
    <definedName name="IQ_EBIT_SBC_ACT_OR_EST" hidden="1">"c4316"</definedName>
    <definedName name="IQ_EBIT_SBC_GW_ACT_OR_EST" hidden="1">"c4320"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REUT" hidden="1">"c3640"</definedName>
    <definedName name="IQ_EBITDA_EXCL_SBC" hidden="1">"c3081"</definedName>
    <definedName name="IQ_EBITDA_HIGH_EST" hidden="1">"c370"</definedName>
    <definedName name="IQ_EBITDA_HIGH_EST_REUT" hidden="1">"c3642"</definedName>
    <definedName name="IQ_EBITDA_INT" hidden="1">"c373"</definedName>
    <definedName name="IQ_EBITDA_LOW_EST" hidden="1">"c371"</definedName>
    <definedName name="IQ_EBITDA_LOW_EST_REUT" hidden="1">"c3643"</definedName>
    <definedName name="IQ_EBITDA_MARGIN" hidden="1">"c372"</definedName>
    <definedName name="IQ_EBITDA_MEDIAN_EST" hidden="1">"c1663"</definedName>
    <definedName name="IQ_EBITDA_MEDIAN_EST_REUT" hidden="1">"c3641"</definedName>
    <definedName name="IQ_EBITDA_NUM_EST" hidden="1">"c374"</definedName>
    <definedName name="IQ_EBITDA_NUM_EST_REUT" hidden="1">"c3644"</definedName>
    <definedName name="IQ_EBITDA_OVER_TOTAL_IE" hidden="1">"c1371"</definedName>
    <definedName name="IQ_EBITDA_SBC_ACT_OR_EST" hidden="1">"c4337"</definedName>
    <definedName name="IQ_EBITDA_STDDEV_EST" hidden="1">"c375"</definedName>
    <definedName name="IQ_EBITDA_STDDEV_EST_REUT" hidden="1">"c3645"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SBC_ACT_OR_EST" hidden="1">"c4350"</definedName>
    <definedName name="IQ_EBT_SBC_GW_ACT_OR_EST" hidden="1">"c4354"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EST_REUT" hidden="1">"c5453"</definedName>
    <definedName name="IQ_EPS_HIGH_EST" hidden="1">"c400"</definedName>
    <definedName name="IQ_EPS_HIGH_EST_REUT" hidden="1">"c5454"</definedName>
    <definedName name="IQ_EPS_LOW_EST" hidden="1">"c401"</definedName>
    <definedName name="IQ_EPS_LOW_EST_REUT" hidden="1">"c5455"</definedName>
    <definedName name="IQ_EPS_MEDIAN_EST" hidden="1">"c1661"</definedName>
    <definedName name="IQ_EPS_MEDIAN_EST_REUT" hidden="1">"c5456"</definedName>
    <definedName name="IQ_EPS_NORM" hidden="1">"c1902"</definedName>
    <definedName name="IQ_EPS_NUM_EST" hidden="1">"c402"</definedName>
    <definedName name="IQ_EPS_NUM_EST_REUT" hidden="1">"c5451"</definedName>
    <definedName name="IQ_EPS_SBC_ACT_OR_EST" hidden="1">"c4376"</definedName>
    <definedName name="IQ_EPS_SBC_GW_ACT_OR_EST" hidden="1">"c4380"</definedName>
    <definedName name="IQ_EPS_STDDEV_EST" hidden="1">"c403"</definedName>
    <definedName name="IQ_EPS_STDDEV_EST_REUT" hidden="1">"c5452"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CURRENCY" hidden="1">"c2140"</definedName>
    <definedName name="IQ_EST_CURRENCY_REUT" hidden="1">"c5437"</definedName>
    <definedName name="IQ_EST_DATE" hidden="1">"c1634"</definedName>
    <definedName name="IQ_EST_DATE_REUT" hidden="1">"c5438"</definedName>
    <definedName name="IQ_EST_EPS_DIFF" hidden="1">"c1864"</definedName>
    <definedName name="IQ_EST_EPS_GROWTH_1YR" hidden="1">"c1636"</definedName>
    <definedName name="IQ_EST_EPS_GROWTH_1YR_REUT" hidden="1">"c3646"</definedName>
    <definedName name="IQ_EST_EPS_GROWTH_5YR" hidden="1">"c1655"</definedName>
    <definedName name="IQ_EST_EPS_GROWTH_5YR_REUT" hidden="1">"c3633"</definedName>
    <definedName name="IQ_EST_EPS_GROWTH_Q_1YR" hidden="1">"c1641"</definedName>
    <definedName name="IQ_EST_EPS_GROWTH_Q_1YR_REUT" hidden="1">"c5410"</definedName>
    <definedName name="IQ_EST_VENDOR" hidden="1">"c5564"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FO_ADJ_ACT_OR_EST" hidden="1">"c4435"</definedName>
    <definedName name="IQ_FFO_PAYOUT_RATIO" hidden="1">"c3492"</definedName>
    <definedName name="IQ_FFO_SHARE_ACT_OR_EST" hidden="1">"c4446"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_TARGET_PRICE_REUT" hidden="1">"c5317"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DUSTRY" hidden="1">"c3601"</definedName>
    <definedName name="IQ_INDUSTRY_GROUP" hidden="1">"c3602"</definedName>
    <definedName name="IQ_INDUSTRY_SECTOR" hidden="1">"c3603"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_TARGET_PRICE_REUT" hidden="1">"c5318"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CAPEX" hidden="1">"c2947"</definedName>
    <definedName name="IQ_MAINT_CAPEX_ACT_OR_EST" hidden="1">"c4458"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DIAN_TARGET_PRICE" hidden="1">"c1650"</definedName>
    <definedName name="IQ_MEDIAN_TARGET_PRICE_REUT" hidden="1">"c5316"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REUT" hidden="1">"c4048"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BC_ACT_OR_EST" hidden="1">"c4474"</definedName>
    <definedName name="IQ_NI_SBC_GW_ACT_OR_EST" hidden="1">"c4478"</definedName>
    <definedName name="IQ_NI_SFAS" hidden="1">"c795"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MORT" hidden="1">"c5563"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REUT" hidden="1">"c4049"</definedName>
    <definedName name="IQ_PE_NORMALIZED" hidden="1">"c2207"</definedName>
    <definedName name="IQ_PE_RATIO" hidden="1">"c1610"</definedName>
    <definedName name="IQ_PEG_FWD" hidden="1">"c1863"</definedName>
    <definedName name="IQ_PEG_FWD_REUT" hidden="1">"c4052"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_TARGET_REUT" hidden="1">"c3631"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CURRING_PROFIT_ACT_OR_EST" hidden="1">"c4507"</definedName>
    <definedName name="IQ_RECURRING_PROFIT_SHARE_ACT_OR_EST" hidden="1">"c4508"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STDDEV_EST_REUT" hidden="1">"c3639"</definedName>
    <definedName name="IQ_REV_UTI" hidden="1">"c1125"</definedName>
    <definedName name="IQ_REVENUE" hidden="1">"c1422"</definedName>
    <definedName name="IQ_REVENUE_EST" hidden="1">"c1126"</definedName>
    <definedName name="IQ_REVENUE_EST_REUT" hidden="1">"c3634"</definedName>
    <definedName name="IQ_REVENUE_HIGH_EST" hidden="1">"c1127"</definedName>
    <definedName name="IQ_REVENUE_HIGH_EST_REUT" hidden="1">"c3636"</definedName>
    <definedName name="IQ_REVENUE_LOW_EST" hidden="1">"c1128"</definedName>
    <definedName name="IQ_REVENUE_LOW_EST_REUT" hidden="1">"c3637"</definedName>
    <definedName name="IQ_REVENUE_MEDIAN_EST" hidden="1">"c1662"</definedName>
    <definedName name="IQ_REVENUE_MEDIAN_EST_REUT" hidden="1">"c3635"</definedName>
    <definedName name="IQ_REVENUE_NUM_EST" hidden="1">"c1129"</definedName>
    <definedName name="IQ_REVENUE_NUM_EST_REUT" hidden="1">"c3638"</definedName>
    <definedName name="IQ_REVISION_DATE_" hidden="1">39527.6287847222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_PURCHASED_RESELL" hidden="1">"c5513"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NUM_REUT" hidden="1">"c5319"</definedName>
    <definedName name="IQ_TARGET_PRICE_STDDEV" hidden="1">"c1654"</definedName>
    <definedName name="IQ_TARGET_PRICE_STDDEV_REUT" hidden="1">"c5320"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BITDA_FWD_REUT" hidden="1">"c4050"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REUT" hidden="1">"c4051"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IT" hidden="1">"c5520"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IGHTED_AVG_PRICE" hidden="1">"c1334"</definedName>
    <definedName name="IQ_WIP_INV" hidden="1">"c1335"</definedName>
    <definedName name="IQ_WORKING_CAP" hidden="1">"c3494"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T" localSheetId="3">'[28] Employees for 2023'!#REF!</definedName>
    <definedName name="IT">[26]EMPLOYEES!#REF!</definedName>
    <definedName name="jdsf" localSheetId="6" hidden="1">{#N/A,#N/A,FALSE,"FAB VENDORS";"BUD SUM",#N/A,FALSE,"BUD SUM WO TEX"}</definedName>
    <definedName name="jdsf" localSheetId="5" hidden="1">{#N/A,#N/A,FALSE,"FAB VENDORS";"BUD SUM",#N/A,FALSE,"BUD SUM WO TEX"}</definedName>
    <definedName name="jdsf" localSheetId="4" hidden="1">{#N/A,#N/A,FALSE,"FAB VENDORS";"BUD SUM",#N/A,FALSE,"BUD SUM WO TEX"}</definedName>
    <definedName name="jdsf" localSheetId="3" hidden="1">{#N/A,#N/A,FALSE,"FAB VENDORS";"BUD SUM",#N/A,FALSE,"BUD SUM WO TEX"}</definedName>
    <definedName name="jdsf" hidden="1">{#N/A,#N/A,FALSE,"FAB VENDORS";"BUD SUM",#N/A,FALSE,"BUD SUM WO TEX"}</definedName>
    <definedName name="jdsf_1" localSheetId="6" hidden="1">{#N/A,#N/A,FALSE,"FAB VENDORS";"BUD SUM",#N/A,FALSE,"BUD SUM WO TEX"}</definedName>
    <definedName name="jdsf_1" localSheetId="5" hidden="1">{#N/A,#N/A,FALSE,"FAB VENDORS";"BUD SUM",#N/A,FALSE,"BUD SUM WO TEX"}</definedName>
    <definedName name="jdsf_1" localSheetId="4" hidden="1">{#N/A,#N/A,FALSE,"FAB VENDORS";"BUD SUM",#N/A,FALSE,"BUD SUM WO TEX"}</definedName>
    <definedName name="jdsf_1" localSheetId="3" hidden="1">{#N/A,#N/A,FALSE,"FAB VENDORS";"BUD SUM",#N/A,FALSE,"BUD SUM WO TEX"}</definedName>
    <definedName name="jdsf_1" hidden="1">{#N/A,#N/A,FALSE,"FAB VENDORS";"BUD SUM",#N/A,FALSE,"BUD SUM WO TEX"}</definedName>
    <definedName name="jfalkf" localSheetId="6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jfalkf" localSheetId="5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jfalkf" localSheetId="4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jfalkf" localSheetId="3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jfalkf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jfalkf_1" localSheetId="6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jfalkf_1" localSheetId="5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jfalkf_1" localSheetId="4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jfalkf_1" localSheetId="3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jfalkf_1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KeyAnaly_Header" localSheetId="6" hidden="1">#REF!</definedName>
    <definedName name="KeyAnaly_Header" localSheetId="5" hidden="1">#REF!</definedName>
    <definedName name="KeyAnaly_Header" localSheetId="4" hidden="1">#REF!</definedName>
    <definedName name="KeyAnaly_Header" localSheetId="3" hidden="1">#REF!</definedName>
    <definedName name="KeyAnaly_Header" hidden="1">#REF!</definedName>
    <definedName name="keybookltm" localSheetId="6" hidden="1">#REF!</definedName>
    <definedName name="keybookltm" localSheetId="5" hidden="1">#REF!</definedName>
    <definedName name="keybookltm" localSheetId="4" hidden="1">#REF!</definedName>
    <definedName name="keybookltm" localSheetId="3" hidden="1">#REF!</definedName>
    <definedName name="keybookltm" hidden="1">#REF!</definedName>
    <definedName name="keybookty" localSheetId="6" hidden="1">#REF!</definedName>
    <definedName name="keybookty" localSheetId="5" hidden="1">#REF!</definedName>
    <definedName name="keybookty" localSheetId="4" hidden="1">#REF!</definedName>
    <definedName name="keybookty" localSheetId="3" hidden="1">#REF!</definedName>
    <definedName name="keybookty" hidden="1">#REF!</definedName>
    <definedName name="keyearnltm" localSheetId="6" hidden="1">#REF!</definedName>
    <definedName name="keyearnltm" localSheetId="5" hidden="1">#REF!</definedName>
    <definedName name="keyearnltm" localSheetId="4" hidden="1">#REF!</definedName>
    <definedName name="keyearnltm" localSheetId="3" hidden="1">#REF!</definedName>
    <definedName name="keyearnltm" hidden="1">#REF!</definedName>
    <definedName name="keyearnty" localSheetId="6" hidden="1">#REF!</definedName>
    <definedName name="keyearnty" localSheetId="5" hidden="1">#REF!</definedName>
    <definedName name="keyearnty" localSheetId="4" hidden="1">#REF!</definedName>
    <definedName name="keyearnty" localSheetId="3" hidden="1">#REF!</definedName>
    <definedName name="keyearnty" hidden="1">#REF!</definedName>
    <definedName name="keyebitdaty" localSheetId="6" hidden="1">#REF!</definedName>
    <definedName name="keyebitdaty" localSheetId="5" hidden="1">#REF!</definedName>
    <definedName name="keyebitdaty" localSheetId="4" hidden="1">#REF!</definedName>
    <definedName name="keyebitdaty" localSheetId="3" hidden="1">#REF!</definedName>
    <definedName name="keyebitdaty" hidden="1">#REF!</definedName>
    <definedName name="keyebitltm" localSheetId="6" hidden="1">#REF!</definedName>
    <definedName name="keyebitltm" localSheetId="5" hidden="1">#REF!</definedName>
    <definedName name="keyebitltm" localSheetId="4" hidden="1">#REF!</definedName>
    <definedName name="keyebitltm" localSheetId="3" hidden="1">#REF!</definedName>
    <definedName name="keyebitltm" hidden="1">#REF!</definedName>
    <definedName name="keyebitty" localSheetId="6" hidden="1">#REF!</definedName>
    <definedName name="keyebitty" localSheetId="5" hidden="1">#REF!</definedName>
    <definedName name="keyebitty" localSheetId="4" hidden="1">#REF!</definedName>
    <definedName name="keyebitty" localSheetId="3" hidden="1">#REF!</definedName>
    <definedName name="keyebitty" hidden="1">#REF!</definedName>
    <definedName name="keyformrow" localSheetId="6" hidden="1">#REF!</definedName>
    <definedName name="keyformrow" localSheetId="5" hidden="1">#REF!</definedName>
    <definedName name="keyformrow" localSheetId="4" hidden="1">#REF!</definedName>
    <definedName name="keyformrow" localSheetId="3" hidden="1">#REF!</definedName>
    <definedName name="keyformrow" hidden="1">#REF!</definedName>
    <definedName name="keyformrow2" localSheetId="6" hidden="1">#REF!</definedName>
    <definedName name="keyformrow2" localSheetId="5" hidden="1">#REF!</definedName>
    <definedName name="keyformrow2" localSheetId="4" hidden="1">#REF!</definedName>
    <definedName name="keyformrow2" localSheetId="3" hidden="1">#REF!</definedName>
    <definedName name="keyformrow2" hidden="1">#REF!</definedName>
    <definedName name="keypebitdaltm" localSheetId="6" hidden="1">#REF!</definedName>
    <definedName name="keypebitdaltm" localSheetId="5" hidden="1">#REF!</definedName>
    <definedName name="keypebitdaltm" localSheetId="4" hidden="1">#REF!</definedName>
    <definedName name="keypebitdaltm" localSheetId="3" hidden="1">#REF!</definedName>
    <definedName name="keypebitdaltm" hidden="1">#REF!</definedName>
    <definedName name="keypebitdaty" localSheetId="6" hidden="1">#REF!</definedName>
    <definedName name="keypebitdaty" localSheetId="5" hidden="1">#REF!</definedName>
    <definedName name="keypebitdaty" localSheetId="4" hidden="1">#REF!</definedName>
    <definedName name="keypebitdaty" localSheetId="3" hidden="1">#REF!</definedName>
    <definedName name="keypebitdaty" hidden="1">#REF!</definedName>
    <definedName name="keyprefeqtyty" localSheetId="6" hidden="1">#REF!</definedName>
    <definedName name="keyprefeqtyty" localSheetId="5" hidden="1">#REF!</definedName>
    <definedName name="keyprefeqtyty" localSheetId="4" hidden="1">#REF!</definedName>
    <definedName name="keyprefeqtyty" localSheetId="3" hidden="1">#REF!</definedName>
    <definedName name="keyprefeqtyty" hidden="1">#REF!</definedName>
    <definedName name="keyrevty" localSheetId="6" hidden="1">#REF!</definedName>
    <definedName name="keyrevty" localSheetId="5" hidden="1">#REF!</definedName>
    <definedName name="keyrevty" localSheetId="4" hidden="1">#REF!</definedName>
    <definedName name="keyrevty" localSheetId="3" hidden="1">#REF!</definedName>
    <definedName name="keyrevty" hidden="1">#REF!</definedName>
    <definedName name="keyshareoutty" localSheetId="6" hidden="1">#REF!</definedName>
    <definedName name="keyshareoutty" localSheetId="5" hidden="1">#REF!</definedName>
    <definedName name="keyshareoutty" localSheetId="4" hidden="1">#REF!</definedName>
    <definedName name="keyshareoutty" localSheetId="3" hidden="1">#REF!</definedName>
    <definedName name="keyshareoutty" hidden="1">#REF!</definedName>
    <definedName name="keysharepricety" localSheetId="6" hidden="1">#REF!</definedName>
    <definedName name="keysharepricety" localSheetId="5" hidden="1">#REF!</definedName>
    <definedName name="keysharepricety" localSheetId="4" hidden="1">#REF!</definedName>
    <definedName name="keysharepricety" localSheetId="3" hidden="1">#REF!</definedName>
    <definedName name="keysharepricety" hidden="1">#REF!</definedName>
    <definedName name="keytotdebtty" localSheetId="6" hidden="1">#REF!</definedName>
    <definedName name="keytotdebtty" localSheetId="5" hidden="1">#REF!</definedName>
    <definedName name="keytotdebtty" localSheetId="4" hidden="1">#REF!</definedName>
    <definedName name="keytotdebtty" localSheetId="3" hidden="1">#REF!</definedName>
    <definedName name="keytotdebtty" hidden="1">#REF!</definedName>
    <definedName name="keytyrange" localSheetId="6" hidden="1">#REF!</definedName>
    <definedName name="keytyrange" localSheetId="5" hidden="1">#REF!</definedName>
    <definedName name="keytyrange" localSheetId="4" hidden="1">#REF!</definedName>
    <definedName name="keytyrange" localSheetId="3" hidden="1">#REF!</definedName>
    <definedName name="keytyrange" hidden="1">#REF!</definedName>
    <definedName name="keytyrangeone" localSheetId="6" hidden="1">#REF!</definedName>
    <definedName name="keytyrangeone" localSheetId="5" hidden="1">#REF!</definedName>
    <definedName name="keytyrangeone" localSheetId="4" hidden="1">#REF!</definedName>
    <definedName name="keytyrangeone" localSheetId="3" hidden="1">#REF!</definedName>
    <definedName name="keytyrangeone" hidden="1">#REF!</definedName>
    <definedName name="LBOwrn.PRINT" localSheetId="6" hidden="1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LBOwrn.PRINT" localSheetId="5" hidden="1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LBOwrn.PRINT" localSheetId="4" hidden="1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LBOwrn.PRINT" localSheetId="3" hidden="1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LBOwrn.PRINT" hidden="1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LBOwrn.PRINT_1" localSheetId="6" hidden="1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LBOwrn.PRINT_1" localSheetId="5" hidden="1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LBOwrn.PRINT_1" localSheetId="4" hidden="1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LBOwrn.PRINT_1" localSheetId="3" hidden="1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LBOwrn.PRINT_1" hidden="1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ListOffset" hidden="1">1</definedName>
    <definedName name="LJR" localSheetId="6" hidden="1">#REF!</definedName>
    <definedName name="LJR" localSheetId="5" hidden="1">#REF!</definedName>
    <definedName name="LJR" localSheetId="4" hidden="1">#REF!</definedName>
    <definedName name="LJR" localSheetId="3" hidden="1">#REF!</definedName>
    <definedName name="LJR" hidden="1">#REF!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arcapty" localSheetId="6" hidden="1">#REF!</definedName>
    <definedName name="marcapty" localSheetId="5" hidden="1">#REF!</definedName>
    <definedName name="marcapty" localSheetId="4" hidden="1">#REF!</definedName>
    <definedName name="marcapty" localSheetId="3" hidden="1">#REF!</definedName>
    <definedName name="marcapty" hidden="1">#REF!</definedName>
    <definedName name="marearntwo" localSheetId="6" hidden="1">#REF!</definedName>
    <definedName name="marearntwo" localSheetId="5" hidden="1">#REF!</definedName>
    <definedName name="marearntwo" localSheetId="4" hidden="1">#REF!</definedName>
    <definedName name="marearntwo" localSheetId="3" hidden="1">#REF!</definedName>
    <definedName name="marearntwo" hidden="1">#REF!</definedName>
    <definedName name="marebitdaty" localSheetId="6" hidden="1">#REF!</definedName>
    <definedName name="marebitdaty" localSheetId="5" hidden="1">#REF!</definedName>
    <definedName name="marebitdaty" localSheetId="4" hidden="1">#REF!</definedName>
    <definedName name="marebitdaty" localSheetId="3" hidden="1">#REF!</definedName>
    <definedName name="marebitdaty" hidden="1">#REF!</definedName>
    <definedName name="marebitty" localSheetId="6" hidden="1">#REF!</definedName>
    <definedName name="marebitty" localSheetId="5" hidden="1">#REF!</definedName>
    <definedName name="marebitty" localSheetId="4" hidden="1">#REF!</definedName>
    <definedName name="marebitty" localSheetId="3" hidden="1">#REF!</definedName>
    <definedName name="marebitty" hidden="1">#REF!</definedName>
    <definedName name="marformrow2" localSheetId="6" hidden="1">#REF!</definedName>
    <definedName name="marformrow2" localSheetId="5" hidden="1">#REF!</definedName>
    <definedName name="marformrow2" localSheetId="4" hidden="1">#REF!</definedName>
    <definedName name="marformrow2" localSheetId="3" hidden="1">#REF!</definedName>
    <definedName name="marformrow2" hidden="1">#REF!</definedName>
    <definedName name="margrossty" localSheetId="6" hidden="1">#REF!</definedName>
    <definedName name="margrossty" localSheetId="5" hidden="1">#REF!</definedName>
    <definedName name="margrossty" localSheetId="4" hidden="1">#REF!</definedName>
    <definedName name="margrossty" localSheetId="3" hidden="1">#REF!</definedName>
    <definedName name="margrossty" hidden="1">#REF!</definedName>
    <definedName name="marnwcty" localSheetId="6" hidden="1">#REF!</definedName>
    <definedName name="marnwcty" localSheetId="5" hidden="1">#REF!</definedName>
    <definedName name="marnwcty" localSheetId="4" hidden="1">#REF!</definedName>
    <definedName name="marnwcty" localSheetId="3" hidden="1">#REF!</definedName>
    <definedName name="marnwcty" hidden="1">#REF!</definedName>
    <definedName name="marrevtwo" localSheetId="6" hidden="1">#REF!</definedName>
    <definedName name="marrevtwo" localSheetId="5" hidden="1">#REF!</definedName>
    <definedName name="marrevtwo" localSheetId="4" hidden="1">#REF!</definedName>
    <definedName name="marrevtwo" localSheetId="3" hidden="1">#REF!</definedName>
    <definedName name="marrevtwo" hidden="1">#REF!</definedName>
    <definedName name="martyrange" localSheetId="6" hidden="1">#REF!</definedName>
    <definedName name="martyrange" localSheetId="5" hidden="1">#REF!</definedName>
    <definedName name="martyrange" localSheetId="4" hidden="1">#REF!</definedName>
    <definedName name="martyrange" localSheetId="3" hidden="1">#REF!</definedName>
    <definedName name="martyrange" hidden="1">#REF!</definedName>
    <definedName name="martyrangeone" localSheetId="6" hidden="1">#REF!</definedName>
    <definedName name="martyrangeone" localSheetId="5" hidden="1">#REF!</definedName>
    <definedName name="martyrangeone" localSheetId="4" hidden="1">#REF!</definedName>
    <definedName name="martyrangeone" localSheetId="3" hidden="1">#REF!</definedName>
    <definedName name="martyrangeone" hidden="1">#REF!</definedName>
    <definedName name="medmult" localSheetId="6" hidden="1">#REF!</definedName>
    <definedName name="medmult" localSheetId="5" hidden="1">#REF!</definedName>
    <definedName name="medmult" localSheetId="4" hidden="1">#REF!</definedName>
    <definedName name="medmult" localSheetId="3" hidden="1">#REF!</definedName>
    <definedName name="medmult" hidden="1">#REF!</definedName>
    <definedName name="minorityintyes" hidden="1">[18]KeyMultInputs!$Z$1</definedName>
    <definedName name="MNG" localSheetId="3">'[28] Employees for 2023'!#REF!</definedName>
    <definedName name="MNG">[26]EMPLOYEES!#REF!</definedName>
    <definedName name="month_of_report">'[23]P&amp;L'!$I$2</definedName>
    <definedName name="Months">[22]Index!$D$2:$D$14</definedName>
    <definedName name="multcash1" localSheetId="5" hidden="1">'[19]Exb II.1_Summary Taira'!#REF!</definedName>
    <definedName name="multcash1" localSheetId="4" hidden="1">'[19]Exb II.1_Summary Taira'!#REF!</definedName>
    <definedName name="multcash1" localSheetId="3" hidden="1">'[19]Exb II.1_Summary Taira'!#REF!</definedName>
    <definedName name="multcash1" hidden="1">'[19]Exb II.1_Summary Taira'!#REF!</definedName>
    <definedName name="multtable" localSheetId="5" hidden="1">'[19]Exb II.1_Summary Taira'!#REF!</definedName>
    <definedName name="multtable" localSheetId="4" hidden="1">'[19]Exb II.1_Summary Taira'!#REF!</definedName>
    <definedName name="multtable" localSheetId="3" hidden="1">'[19]Exb II.1_Summary Taira'!#REF!</definedName>
    <definedName name="multtable" hidden="1">'[19]Exb II.1_Summary Taira'!#REF!</definedName>
    <definedName name="mvicebit_col" localSheetId="5" hidden="1">'[19]Exb II.1_Summary Taira'!#REF!</definedName>
    <definedName name="mvicebit_col" localSheetId="4" hidden="1">'[19]Exb II.1_Summary Taira'!#REF!</definedName>
    <definedName name="mvicebit_col" localSheetId="3" hidden="1">'[19]Exb II.1_Summary Taira'!#REF!</definedName>
    <definedName name="mvicebit_col" hidden="1">'[19]Exb II.1_Summary Taira'!#REF!</definedName>
    <definedName name="mvicprojebitda_col" localSheetId="5" hidden="1">'[19]Exb II.1_Summary Taira'!#REF!</definedName>
    <definedName name="mvicprojebitda_col" localSheetId="4" hidden="1">'[19]Exb II.1_Summary Taira'!#REF!</definedName>
    <definedName name="mvicprojebitda_col" localSheetId="3" hidden="1">'[19]Exb II.1_Summary Taira'!#REF!</definedName>
    <definedName name="mvicprojebitda_col" hidden="1">'[19]Exb II.1_Summary Taira'!#REF!</definedName>
    <definedName name="na" localSheetId="6" hidden="1">{"revenue detail 1",#N/A,FALSE,"Revenue Detail";"revenue detail 2",#N/A,FALSE,"Revenue Detail";"revenue detail 3",#N/A,FALSE,"Revenue Detail";"revenue detail 4",#N/A,FALSE,"Revenue Detail"}</definedName>
    <definedName name="na" localSheetId="5" hidden="1">{"revenue detail 1",#N/A,FALSE,"Revenue Detail";"revenue detail 2",#N/A,FALSE,"Revenue Detail";"revenue detail 3",#N/A,FALSE,"Revenue Detail";"revenue detail 4",#N/A,FALSE,"Revenue Detail"}</definedName>
    <definedName name="na" localSheetId="4" hidden="1">{"revenue detail 1",#N/A,FALSE,"Revenue Detail";"revenue detail 2",#N/A,FALSE,"Revenue Detail";"revenue detail 3",#N/A,FALSE,"Revenue Detail";"revenue detail 4",#N/A,FALSE,"Revenue Detail"}</definedName>
    <definedName name="na" localSheetId="3" hidden="1">{"revenue detail 1",#N/A,FALSE,"Revenue Detail";"revenue detail 2",#N/A,FALSE,"Revenue Detail";"revenue detail 3",#N/A,FALSE,"Revenue Detail";"revenue detail 4",#N/A,FALSE,"Revenue Detail"}</definedName>
    <definedName name="na" hidden="1">{"revenue detail 1",#N/A,FALSE,"Revenue Detail";"revenue detail 2",#N/A,FALSE,"Revenue Detail";"revenue detail 3",#N/A,FALSE,"Revenue Detail";"revenue detail 4",#N/A,FALSE,"Revenue Detail"}</definedName>
    <definedName name="na_1" localSheetId="6" hidden="1">{"revenue detail 1",#N/A,FALSE,"Revenue Detail";"revenue detail 2",#N/A,FALSE,"Revenue Detail";"revenue detail 3",#N/A,FALSE,"Revenue Detail";"revenue detail 4",#N/A,FALSE,"Revenue Detail"}</definedName>
    <definedName name="na_1" localSheetId="5" hidden="1">{"revenue detail 1",#N/A,FALSE,"Revenue Detail";"revenue detail 2",#N/A,FALSE,"Revenue Detail";"revenue detail 3",#N/A,FALSE,"Revenue Detail";"revenue detail 4",#N/A,FALSE,"Revenue Detail"}</definedName>
    <definedName name="na_1" localSheetId="4" hidden="1">{"revenue detail 1",#N/A,FALSE,"Revenue Detail";"revenue detail 2",#N/A,FALSE,"Revenue Detail";"revenue detail 3",#N/A,FALSE,"Revenue Detail";"revenue detail 4",#N/A,FALSE,"Revenue Detail"}</definedName>
    <definedName name="na_1" localSheetId="3" hidden="1">{"revenue detail 1",#N/A,FALSE,"Revenue Detail";"revenue detail 2",#N/A,FALSE,"Revenue Detail";"revenue detail 3",#N/A,FALSE,"Revenue Detail";"revenue detail 4",#N/A,FALSE,"Revenue Detail"}</definedName>
    <definedName name="na_1" hidden="1">{"revenue detail 1",#N/A,FALSE,"Revenue Detail";"revenue detail 2",#N/A,FALSE,"Revenue Detail";"revenue detail 3",#N/A,FALSE,"Revenue Detail";"revenue detail 4",#N/A,FALSE,"Revenue Detail"}</definedName>
    <definedName name="No" localSheetId="6" hidden="1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No" localSheetId="5" hidden="1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No" localSheetId="4" hidden="1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No" localSheetId="3" hidden="1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No" hidden="1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No_1" localSheetId="6" hidden="1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No_1" localSheetId="5" hidden="1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No_1" localSheetId="4" hidden="1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No_1" localSheetId="3" hidden="1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No_1" hidden="1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oi" localSheetId="6" hidden="1">{"summary1",#N/A,FALSE,"Summary of Values";"weighted average returns",#N/A,FALSE,"WACC and WARA";"revenue graph",#N/A,FALSE,"Revenue Graph";"historical acquirer",#N/A,FALSE,"Historical Performance";"historical target",#N/A,FALSE,"Historical Performance";"revenue detail 1",#N/A,FALSE,"Revenue Detail";"revenue detail 2",#N/A,FALSE,"Revenue Detail";"revenue detail 3",#N/A,FALSE,"Revenue Detail";"revenue detail 4",#N/A,FALSE,"Revenue Detail";"gross_margin1",#N/A,FALSE,"Gross Margin Detail";"gross_margin2",#N/A,FALSE,"Gross Margin Detail";"developed income statement",#N/A,FALSE,"Abbreviated Income Statement";"inprocess income statement",#N/A,FALSE,"Abbreviated Income Statement";"developed valuation",#N/A,FALSE,"Valuation Analysis";"inprocess valuation",#N/A,FALSE,"Valuation Analysis";"trademark1",#N/A,FALSE,"Trademark(s) and Trade Name(s)";"contributory1",#N/A,FALSE,"Contributory Assets Detail";"contributory2",#N/A,FALSE,"Contributory Assets Detail";"fixed asset detail",#N/A,FALSE,"Fixed Asset Detail"}</definedName>
    <definedName name="oi" localSheetId="5" hidden="1">{"summary1",#N/A,FALSE,"Summary of Values";"weighted average returns",#N/A,FALSE,"WACC and WARA";"revenue graph",#N/A,FALSE,"Revenue Graph";"historical acquirer",#N/A,FALSE,"Historical Performance";"historical target",#N/A,FALSE,"Historical Performance";"revenue detail 1",#N/A,FALSE,"Revenue Detail";"revenue detail 2",#N/A,FALSE,"Revenue Detail";"revenue detail 3",#N/A,FALSE,"Revenue Detail";"revenue detail 4",#N/A,FALSE,"Revenue Detail";"gross_margin1",#N/A,FALSE,"Gross Margin Detail";"gross_margin2",#N/A,FALSE,"Gross Margin Detail";"developed income statement",#N/A,FALSE,"Abbreviated Income Statement";"inprocess income statement",#N/A,FALSE,"Abbreviated Income Statement";"developed valuation",#N/A,FALSE,"Valuation Analysis";"inprocess valuation",#N/A,FALSE,"Valuation Analysis";"trademark1",#N/A,FALSE,"Trademark(s) and Trade Name(s)";"contributory1",#N/A,FALSE,"Contributory Assets Detail";"contributory2",#N/A,FALSE,"Contributory Assets Detail";"fixed asset detail",#N/A,FALSE,"Fixed Asset Detail"}</definedName>
    <definedName name="oi" localSheetId="4" hidden="1">{"summary1",#N/A,FALSE,"Summary of Values";"weighted average returns",#N/A,FALSE,"WACC and WARA";"revenue graph",#N/A,FALSE,"Revenue Graph";"historical acquirer",#N/A,FALSE,"Historical Performance";"historical target",#N/A,FALSE,"Historical Performance";"revenue detail 1",#N/A,FALSE,"Revenue Detail";"revenue detail 2",#N/A,FALSE,"Revenue Detail";"revenue detail 3",#N/A,FALSE,"Revenue Detail";"revenue detail 4",#N/A,FALSE,"Revenue Detail";"gross_margin1",#N/A,FALSE,"Gross Margin Detail";"gross_margin2",#N/A,FALSE,"Gross Margin Detail";"developed income statement",#N/A,FALSE,"Abbreviated Income Statement";"inprocess income statement",#N/A,FALSE,"Abbreviated Income Statement";"developed valuation",#N/A,FALSE,"Valuation Analysis";"inprocess valuation",#N/A,FALSE,"Valuation Analysis";"trademark1",#N/A,FALSE,"Trademark(s) and Trade Name(s)";"contributory1",#N/A,FALSE,"Contributory Assets Detail";"contributory2",#N/A,FALSE,"Contributory Assets Detail";"fixed asset detail",#N/A,FALSE,"Fixed Asset Detail"}</definedName>
    <definedName name="oi" localSheetId="3" hidden="1">{"summary1",#N/A,FALSE,"Summary of Values";"weighted average returns",#N/A,FALSE,"WACC and WARA";"revenue graph",#N/A,FALSE,"Revenue Graph";"historical acquirer",#N/A,FALSE,"Historical Performance";"historical target",#N/A,FALSE,"Historical Performance";"revenue detail 1",#N/A,FALSE,"Revenue Detail";"revenue detail 2",#N/A,FALSE,"Revenue Detail";"revenue detail 3",#N/A,FALSE,"Revenue Detail";"revenue detail 4",#N/A,FALSE,"Revenue Detail";"gross_margin1",#N/A,FALSE,"Gross Margin Detail";"gross_margin2",#N/A,FALSE,"Gross Margin Detail";"developed income statement",#N/A,FALSE,"Abbreviated Income Statement";"inprocess income statement",#N/A,FALSE,"Abbreviated Income Statement";"developed valuation",#N/A,FALSE,"Valuation Analysis";"inprocess valuation",#N/A,FALSE,"Valuation Analysis";"trademark1",#N/A,FALSE,"Trademark(s) and Trade Name(s)";"contributory1",#N/A,FALSE,"Contributory Assets Detail";"contributory2",#N/A,FALSE,"Contributory Assets Detail";"fixed asset detail",#N/A,FALSE,"Fixed Asset Detail"}</definedName>
    <definedName name="oi" hidden="1">{"summary1",#N/A,FALSE,"Summary of Values";"weighted average returns",#N/A,FALSE,"WACC and WARA";"revenue graph",#N/A,FALSE,"Revenue Graph";"historical acquirer",#N/A,FALSE,"Historical Performance";"historical target",#N/A,FALSE,"Historical Performance";"revenue detail 1",#N/A,FALSE,"Revenue Detail";"revenue detail 2",#N/A,FALSE,"Revenue Detail";"revenue detail 3",#N/A,FALSE,"Revenue Detail";"revenue detail 4",#N/A,FALSE,"Revenue Detail";"gross_margin1",#N/A,FALSE,"Gross Margin Detail";"gross_margin2",#N/A,FALSE,"Gross Margin Detail";"developed income statement",#N/A,FALSE,"Abbreviated Income Statement";"inprocess income statement",#N/A,FALSE,"Abbreviated Income Statement";"developed valuation",#N/A,FALSE,"Valuation Analysis";"inprocess valuation",#N/A,FALSE,"Valuation Analysis";"trademark1",#N/A,FALSE,"Trademark(s) and Trade Name(s)";"contributory1",#N/A,FALSE,"Contributory Assets Detail";"contributory2",#N/A,FALSE,"Contributory Assets Detail";"fixed asset detail",#N/A,FALSE,"Fixed Asset Detail"}</definedName>
    <definedName name="oi_1" localSheetId="6" hidden="1">{"summary1",#N/A,FALSE,"Summary of Values";"weighted average returns",#N/A,FALSE,"WACC and WARA";"revenue graph",#N/A,FALSE,"Revenue Graph";"historical acquirer",#N/A,FALSE,"Historical Performance";"historical target",#N/A,FALSE,"Historical Performance";"revenue detail 1",#N/A,FALSE,"Revenue Detail";"revenue detail 2",#N/A,FALSE,"Revenue Detail";"revenue detail 3",#N/A,FALSE,"Revenue Detail";"revenue detail 4",#N/A,FALSE,"Revenue Detail";"gross_margin1",#N/A,FALSE,"Gross Margin Detail";"gross_margin2",#N/A,FALSE,"Gross Margin Detail";"developed income statement",#N/A,FALSE,"Abbreviated Income Statement";"inprocess income statement",#N/A,FALSE,"Abbreviated Income Statement";"developed valuation",#N/A,FALSE,"Valuation Analysis";"inprocess valuation",#N/A,FALSE,"Valuation Analysis";"trademark1",#N/A,FALSE,"Trademark(s) and Trade Name(s)";"contributory1",#N/A,FALSE,"Contributory Assets Detail";"contributory2",#N/A,FALSE,"Contributory Assets Detail";"fixed asset detail",#N/A,FALSE,"Fixed Asset Detail"}</definedName>
    <definedName name="oi_1" localSheetId="5" hidden="1">{"summary1",#N/A,FALSE,"Summary of Values";"weighted average returns",#N/A,FALSE,"WACC and WARA";"revenue graph",#N/A,FALSE,"Revenue Graph";"historical acquirer",#N/A,FALSE,"Historical Performance";"historical target",#N/A,FALSE,"Historical Performance";"revenue detail 1",#N/A,FALSE,"Revenue Detail";"revenue detail 2",#N/A,FALSE,"Revenue Detail";"revenue detail 3",#N/A,FALSE,"Revenue Detail";"revenue detail 4",#N/A,FALSE,"Revenue Detail";"gross_margin1",#N/A,FALSE,"Gross Margin Detail";"gross_margin2",#N/A,FALSE,"Gross Margin Detail";"developed income statement",#N/A,FALSE,"Abbreviated Income Statement";"inprocess income statement",#N/A,FALSE,"Abbreviated Income Statement";"developed valuation",#N/A,FALSE,"Valuation Analysis";"inprocess valuation",#N/A,FALSE,"Valuation Analysis";"trademark1",#N/A,FALSE,"Trademark(s) and Trade Name(s)";"contributory1",#N/A,FALSE,"Contributory Assets Detail";"contributory2",#N/A,FALSE,"Contributory Assets Detail";"fixed asset detail",#N/A,FALSE,"Fixed Asset Detail"}</definedName>
    <definedName name="oi_1" localSheetId="4" hidden="1">{"summary1",#N/A,FALSE,"Summary of Values";"weighted average returns",#N/A,FALSE,"WACC and WARA";"revenue graph",#N/A,FALSE,"Revenue Graph";"historical acquirer",#N/A,FALSE,"Historical Performance";"historical target",#N/A,FALSE,"Historical Performance";"revenue detail 1",#N/A,FALSE,"Revenue Detail";"revenue detail 2",#N/A,FALSE,"Revenue Detail";"revenue detail 3",#N/A,FALSE,"Revenue Detail";"revenue detail 4",#N/A,FALSE,"Revenue Detail";"gross_margin1",#N/A,FALSE,"Gross Margin Detail";"gross_margin2",#N/A,FALSE,"Gross Margin Detail";"developed income statement",#N/A,FALSE,"Abbreviated Income Statement";"inprocess income statement",#N/A,FALSE,"Abbreviated Income Statement";"developed valuation",#N/A,FALSE,"Valuation Analysis";"inprocess valuation",#N/A,FALSE,"Valuation Analysis";"trademark1",#N/A,FALSE,"Trademark(s) and Trade Name(s)";"contributory1",#N/A,FALSE,"Contributory Assets Detail";"contributory2",#N/A,FALSE,"Contributory Assets Detail";"fixed asset detail",#N/A,FALSE,"Fixed Asset Detail"}</definedName>
    <definedName name="oi_1" localSheetId="3" hidden="1">{"summary1",#N/A,FALSE,"Summary of Values";"weighted average returns",#N/A,FALSE,"WACC and WARA";"revenue graph",#N/A,FALSE,"Revenue Graph";"historical acquirer",#N/A,FALSE,"Historical Performance";"historical target",#N/A,FALSE,"Historical Performance";"revenue detail 1",#N/A,FALSE,"Revenue Detail";"revenue detail 2",#N/A,FALSE,"Revenue Detail";"revenue detail 3",#N/A,FALSE,"Revenue Detail";"revenue detail 4",#N/A,FALSE,"Revenue Detail";"gross_margin1",#N/A,FALSE,"Gross Margin Detail";"gross_margin2",#N/A,FALSE,"Gross Margin Detail";"developed income statement",#N/A,FALSE,"Abbreviated Income Statement";"inprocess income statement",#N/A,FALSE,"Abbreviated Income Statement";"developed valuation",#N/A,FALSE,"Valuation Analysis";"inprocess valuation",#N/A,FALSE,"Valuation Analysis";"trademark1",#N/A,FALSE,"Trademark(s) and Trade Name(s)";"contributory1",#N/A,FALSE,"Contributory Assets Detail";"contributory2",#N/A,FALSE,"Contributory Assets Detail";"fixed asset detail",#N/A,FALSE,"Fixed Asset Detail"}</definedName>
    <definedName name="oi_1" hidden="1">{"summary1",#N/A,FALSE,"Summary of Values";"weighted average returns",#N/A,FALSE,"WACC and WARA";"revenue graph",#N/A,FALSE,"Revenue Graph";"historical acquirer",#N/A,FALSE,"Historical Performance";"historical target",#N/A,FALSE,"Historical Performance";"revenue detail 1",#N/A,FALSE,"Revenue Detail";"revenue detail 2",#N/A,FALSE,"Revenue Detail";"revenue detail 3",#N/A,FALSE,"Revenue Detail";"revenue detail 4",#N/A,FALSE,"Revenue Detail";"gross_margin1",#N/A,FALSE,"Gross Margin Detail";"gross_margin2",#N/A,FALSE,"Gross Margin Detail";"developed income statement",#N/A,FALSE,"Abbreviated Income Statement";"inprocess income statement",#N/A,FALSE,"Abbreviated Income Statement";"developed valuation",#N/A,FALSE,"Valuation Analysis";"inprocess valuation",#N/A,FALSE,"Valuation Analysis";"trademark1",#N/A,FALSE,"Trademark(s) and Trade Name(s)";"contributory1",#N/A,FALSE,"Contributory Assets Detail";"contributory2",#N/A,FALSE,"Contributory Assets Detail";"fixed asset detail",#N/A,FALSE,"Fixed Asset Detail"}</definedName>
    <definedName name="PITTWAY" localSheetId="6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PITTWAY" localSheetId="5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PITTWAY" localSheetId="4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PITTWAY" localSheetId="3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PITTWAY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PITTWAY_1" localSheetId="6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PITTWAY_1" localSheetId="5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PITTWAY_1" localSheetId="4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PITTWAY_1" localSheetId="3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PITTWAY_1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pp" localSheetId="6" hidden="1">{#N/A,#N/A,FALSE,"contents";#N/A,#N/A,FALSE,"bal. sheet";#N/A,#N/A,FALSE,"income";#N/A,#N/A,FALSE,"cashflow";#N/A,#N/A,FALSE,"equity";#N/A,#N/A,FALSE,"notes";#N/A,#N/A,FALSE,"supplemental"}</definedName>
    <definedName name="pp" localSheetId="5" hidden="1">{#N/A,#N/A,FALSE,"contents";#N/A,#N/A,FALSE,"bal. sheet";#N/A,#N/A,FALSE,"income";#N/A,#N/A,FALSE,"cashflow";#N/A,#N/A,FALSE,"equity";#N/A,#N/A,FALSE,"notes";#N/A,#N/A,FALSE,"supplemental"}</definedName>
    <definedName name="pp" localSheetId="4" hidden="1">{#N/A,#N/A,FALSE,"contents";#N/A,#N/A,FALSE,"bal. sheet";#N/A,#N/A,FALSE,"income";#N/A,#N/A,FALSE,"cashflow";#N/A,#N/A,FALSE,"equity";#N/A,#N/A,FALSE,"notes";#N/A,#N/A,FALSE,"supplemental"}</definedName>
    <definedName name="pp" localSheetId="3" hidden="1">{#N/A,#N/A,FALSE,"contents";#N/A,#N/A,FALSE,"bal. sheet";#N/A,#N/A,FALSE,"income";#N/A,#N/A,FALSE,"cashflow";#N/A,#N/A,FALSE,"equity";#N/A,#N/A,FALSE,"notes";#N/A,#N/A,FALSE,"supplemental"}</definedName>
    <definedName name="pp" hidden="1">{#N/A,#N/A,FALSE,"contents";#N/A,#N/A,FALSE,"bal. sheet";#N/A,#N/A,FALSE,"income";#N/A,#N/A,FALSE,"cashflow";#N/A,#N/A,FALSE,"equity";#N/A,#N/A,FALSE,"notes";#N/A,#N/A,FALSE,"supplemental"}</definedName>
    <definedName name="pp_1" localSheetId="6" hidden="1">{#N/A,#N/A,FALSE,"contents";#N/A,#N/A,FALSE,"bal. sheet";#N/A,#N/A,FALSE,"income";#N/A,#N/A,FALSE,"cashflow";#N/A,#N/A,FALSE,"equity";#N/A,#N/A,FALSE,"notes";#N/A,#N/A,FALSE,"supplemental"}</definedName>
    <definedName name="pp_1" localSheetId="5" hidden="1">{#N/A,#N/A,FALSE,"contents";#N/A,#N/A,FALSE,"bal. sheet";#N/A,#N/A,FALSE,"income";#N/A,#N/A,FALSE,"cashflow";#N/A,#N/A,FALSE,"equity";#N/A,#N/A,FALSE,"notes";#N/A,#N/A,FALSE,"supplemental"}</definedName>
    <definedName name="pp_1" localSheetId="4" hidden="1">{#N/A,#N/A,FALSE,"contents";#N/A,#N/A,FALSE,"bal. sheet";#N/A,#N/A,FALSE,"income";#N/A,#N/A,FALSE,"cashflow";#N/A,#N/A,FALSE,"equity";#N/A,#N/A,FALSE,"notes";#N/A,#N/A,FALSE,"supplemental"}</definedName>
    <definedName name="pp_1" localSheetId="3" hidden="1">{#N/A,#N/A,FALSE,"contents";#N/A,#N/A,FALSE,"bal. sheet";#N/A,#N/A,FALSE,"income";#N/A,#N/A,FALSE,"cashflow";#N/A,#N/A,FALSE,"equity";#N/A,#N/A,FALSE,"notes";#N/A,#N/A,FALSE,"supplemental"}</definedName>
    <definedName name="pp_1" hidden="1">{#N/A,#N/A,FALSE,"contents";#N/A,#N/A,FALSE,"bal. sheet";#N/A,#N/A,FALSE,"income";#N/A,#N/A,FALSE,"cashflow";#N/A,#N/A,FALSE,"equity";#N/A,#N/A,FALSE,"notes";#N/A,#N/A,FALSE,"supplemental"}</definedName>
    <definedName name="prefyes" localSheetId="6" hidden="1">#REF!</definedName>
    <definedName name="prefyes" localSheetId="5" hidden="1">#REF!</definedName>
    <definedName name="prefyes" localSheetId="4" hidden="1">#REF!</definedName>
    <definedName name="prefyes" localSheetId="3" hidden="1">#REF!</definedName>
    <definedName name="prefyes" hidden="1">#REF!</definedName>
    <definedName name="pricebook_col" hidden="1">'[19]Exb II.1_Summary Taira'!#REF!</definedName>
    <definedName name="priceearnings_col" hidden="1">'[19]Exb II.1_Summary Taira'!#REF!</definedName>
    <definedName name="Print_CSC_Report_2" localSheetId="6" hidden="1">{"CSC_1",#N/A,FALSE,"CSC Outputs";"CSC_2",#N/A,FALSE,"CSC Outputs"}</definedName>
    <definedName name="Print_CSC_Report_2" localSheetId="5" hidden="1">{"CSC_1",#N/A,FALSE,"CSC Outputs";"CSC_2",#N/A,FALSE,"CSC Outputs"}</definedName>
    <definedName name="Print_CSC_Report_2" localSheetId="4" hidden="1">{"CSC_1",#N/A,FALSE,"CSC Outputs";"CSC_2",#N/A,FALSE,"CSC Outputs"}</definedName>
    <definedName name="Print_CSC_Report_2" localSheetId="3" hidden="1">{"CSC_1",#N/A,FALSE,"CSC Outputs";"CSC_2",#N/A,FALSE,"CSC Outputs"}</definedName>
    <definedName name="Print_CSC_Report_2" hidden="1">{"CSC_1",#N/A,FALSE,"CSC Outputs";"CSC_2",#N/A,FALSE,"CSC Outputs"}</definedName>
    <definedName name="Print_CSC_Report_2_1" localSheetId="6" hidden="1">{"CSC_1",#N/A,FALSE,"CSC Outputs";"CSC_2",#N/A,FALSE,"CSC Outputs"}</definedName>
    <definedName name="Print_CSC_Report_2_1" localSheetId="5" hidden="1">{"CSC_1",#N/A,FALSE,"CSC Outputs";"CSC_2",#N/A,FALSE,"CSC Outputs"}</definedName>
    <definedName name="Print_CSC_Report_2_1" localSheetId="4" hidden="1">{"CSC_1",#N/A,FALSE,"CSC Outputs";"CSC_2",#N/A,FALSE,"CSC Outputs"}</definedName>
    <definedName name="Print_CSC_Report_2_1" localSheetId="3" hidden="1">{"CSC_1",#N/A,FALSE,"CSC Outputs";"CSC_2",#N/A,FALSE,"CSC Outputs"}</definedName>
    <definedName name="Print_CSC_Report_2_1" hidden="1">{"CSC_1",#N/A,FALSE,"CSC Outputs";"CSC_2",#N/A,FALSE,"CSC Outputs"}</definedName>
    <definedName name="print1" localSheetId="6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print1" localSheetId="5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print1" localSheetId="4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print1" localSheetId="3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print1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print1_1" localSheetId="6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print1_1" localSheetId="5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print1_1" localSheetId="4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print1_1" localSheetId="3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print1_1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Project">[8]data!$T$3</definedName>
    <definedName name="ProjectsList">[16]Parameters!$C$3:$C$31</definedName>
    <definedName name="ProjectValidation">[11]!Project[ProjectName]</definedName>
    <definedName name="regmult" localSheetId="6" hidden="1">#REF!</definedName>
    <definedName name="regmult" localSheetId="5" hidden="1">#REF!</definedName>
    <definedName name="regmult" localSheetId="4" hidden="1">#REF!</definedName>
    <definedName name="regmult" localSheetId="3" hidden="1">#REF!</definedName>
    <definedName name="regmult" hidden="1">#REF!</definedName>
    <definedName name="ReportGroup" hidden="1">0</definedName>
    <definedName name="Role_Unit_OH" localSheetId="3">#REF!</definedName>
    <definedName name="Role_Unit_OH">#REF!</definedName>
    <definedName name="Rwvu._Current_." localSheetId="6" hidden="1">#REF!</definedName>
    <definedName name="Rwvu._Current_." localSheetId="5" hidden="1">#REF!</definedName>
    <definedName name="Rwvu._Current_." localSheetId="4" hidden="1">#REF!</definedName>
    <definedName name="Rwvu._Current_." localSheetId="3" hidden="1">#REF!</definedName>
    <definedName name="Rwvu._Current_." hidden="1">#REF!</definedName>
    <definedName name="Rwvu.FRP_backlog2." localSheetId="6" hidden="1">#REF!</definedName>
    <definedName name="Rwvu.FRP_backlog2." localSheetId="5" hidden="1">#REF!</definedName>
    <definedName name="Rwvu.FRP_backlog2." localSheetId="4" hidden="1">#REF!</definedName>
    <definedName name="Rwvu.FRP_backlog2." localSheetId="3" hidden="1">#REF!</definedName>
    <definedName name="Rwvu.FRP_backlog2." hidden="1">#REF!</definedName>
    <definedName name="sads" localSheetId="6" hidden="1">#REF!</definedName>
    <definedName name="sads" localSheetId="5" hidden="1">#REF!</definedName>
    <definedName name="sads" localSheetId="4" hidden="1">#REF!</definedName>
    <definedName name="sads" localSheetId="3" hidden="1">#REF!</definedName>
    <definedName name="sads" hidden="1">#REF!</definedName>
    <definedName name="see" localSheetId="6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see" localSheetId="5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see" localSheetId="4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see" localSheetId="3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see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see_1" localSheetId="6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see_1" localSheetId="5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see_1" localSheetId="4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see_1" localSheetId="3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see_1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selrange" hidden="1">'[19]Exb II.1_Summary Taira'!#REF!</definedName>
    <definedName name="sfsdf" localSheetId="6" hidden="1">{"CSC_1",#N/A,FALSE,"CSC Outputs";"CSC_2",#N/A,FALSE,"CSC Outputs"}</definedName>
    <definedName name="sfsdf" localSheetId="5" hidden="1">{"CSC_1",#N/A,FALSE,"CSC Outputs";"CSC_2",#N/A,FALSE,"CSC Outputs"}</definedName>
    <definedName name="sfsdf" localSheetId="4" hidden="1">{"CSC_1",#N/A,FALSE,"CSC Outputs";"CSC_2",#N/A,FALSE,"CSC Outputs"}</definedName>
    <definedName name="sfsdf" localSheetId="3" hidden="1">{"CSC_1",#N/A,FALSE,"CSC Outputs";"CSC_2",#N/A,FALSE,"CSC Outputs"}</definedName>
    <definedName name="sfsdf" hidden="1">{"CSC_1",#N/A,FALSE,"CSC Outputs";"CSC_2",#N/A,FALSE,"CSC Outputs"}</definedName>
    <definedName name="sfsdf_1" localSheetId="6" hidden="1">{"CSC_1",#N/A,FALSE,"CSC Outputs";"CSC_2",#N/A,FALSE,"CSC Outputs"}</definedName>
    <definedName name="sfsdf_1" localSheetId="5" hidden="1">{"CSC_1",#N/A,FALSE,"CSC Outputs";"CSC_2",#N/A,FALSE,"CSC Outputs"}</definedName>
    <definedName name="sfsdf_1" localSheetId="4" hidden="1">{"CSC_1",#N/A,FALSE,"CSC Outputs";"CSC_2",#N/A,FALSE,"CSC Outputs"}</definedName>
    <definedName name="sfsdf_1" localSheetId="3" hidden="1">{"CSC_1",#N/A,FALSE,"CSC Outputs";"CSC_2",#N/A,FALSE,"CSC Outputs"}</definedName>
    <definedName name="sfsdf_1" hidden="1">{"CSC_1",#N/A,FALSE,"CSC Outputs";"CSC_2",#N/A,FALSE,"CSC Outputs"}</definedName>
    <definedName name="sgdh" localSheetId="6" hidden="1">{#N/A,#N/A,FALSE,"Comp Co";#N/A,#N/A,FALSE,"Debt &amp; Competitive Analysis";#N/A,#N/A,FALSE,"Grove Model";#N/A,#N/A,FALSE,"T&amp;C Model"}</definedName>
    <definedName name="sgdh" localSheetId="5" hidden="1">{#N/A,#N/A,FALSE,"Comp Co";#N/A,#N/A,FALSE,"Debt &amp; Competitive Analysis";#N/A,#N/A,FALSE,"Grove Model";#N/A,#N/A,FALSE,"T&amp;C Model"}</definedName>
    <definedName name="sgdh" localSheetId="4" hidden="1">{#N/A,#N/A,FALSE,"Comp Co";#N/A,#N/A,FALSE,"Debt &amp; Competitive Analysis";#N/A,#N/A,FALSE,"Grove Model";#N/A,#N/A,FALSE,"T&amp;C Model"}</definedName>
    <definedName name="sgdh" localSheetId="3" hidden="1">{#N/A,#N/A,FALSE,"Comp Co";#N/A,#N/A,FALSE,"Debt &amp; Competitive Analysis";#N/A,#N/A,FALSE,"Grove Model";#N/A,#N/A,FALSE,"T&amp;C Model"}</definedName>
    <definedName name="sgdh" hidden="1">{#N/A,#N/A,FALSE,"Comp Co";#N/A,#N/A,FALSE,"Debt &amp; Competitive Analysis";#N/A,#N/A,FALSE,"Grove Model";#N/A,#N/A,FALSE,"T&amp;C Model"}</definedName>
    <definedName name="sgdh_1" localSheetId="6" hidden="1">{#N/A,#N/A,FALSE,"Comp Co";#N/A,#N/A,FALSE,"Debt &amp; Competitive Analysis";#N/A,#N/A,FALSE,"Grove Model";#N/A,#N/A,FALSE,"T&amp;C Model"}</definedName>
    <definedName name="sgdh_1" localSheetId="5" hidden="1">{#N/A,#N/A,FALSE,"Comp Co";#N/A,#N/A,FALSE,"Debt &amp; Competitive Analysis";#N/A,#N/A,FALSE,"Grove Model";#N/A,#N/A,FALSE,"T&amp;C Model"}</definedName>
    <definedName name="sgdh_1" localSheetId="4" hidden="1">{#N/A,#N/A,FALSE,"Comp Co";#N/A,#N/A,FALSE,"Debt &amp; Competitive Analysis";#N/A,#N/A,FALSE,"Grove Model";#N/A,#N/A,FALSE,"T&amp;C Model"}</definedName>
    <definedName name="sgdh_1" localSheetId="3" hidden="1">{#N/A,#N/A,FALSE,"Comp Co";#N/A,#N/A,FALSE,"Debt &amp; Competitive Analysis";#N/A,#N/A,FALSE,"Grove Model";#N/A,#N/A,FALSE,"T&amp;C Model"}</definedName>
    <definedName name="sgdh_1" hidden="1">{#N/A,#N/A,FALSE,"Comp Co";#N/A,#N/A,FALSE,"Debt &amp; Competitive Analysis";#N/A,#N/A,FALSE,"Grove Model";#N/A,#N/A,FALSE,"T&amp;C Model"}</definedName>
    <definedName name="sgdh1" localSheetId="6" hidden="1">{#N/A,#N/A,FALSE,"Comp Co";#N/A,#N/A,FALSE,"Debt &amp; Competitive Analysis";#N/A,#N/A,FALSE,"Grove Model";#N/A,#N/A,FALSE,"T&amp;C Model"}</definedName>
    <definedName name="sgdh1" localSheetId="5" hidden="1">{#N/A,#N/A,FALSE,"Comp Co";#N/A,#N/A,FALSE,"Debt &amp; Competitive Analysis";#N/A,#N/A,FALSE,"Grove Model";#N/A,#N/A,FALSE,"T&amp;C Model"}</definedName>
    <definedName name="sgdh1" localSheetId="4" hidden="1">{#N/A,#N/A,FALSE,"Comp Co";#N/A,#N/A,FALSE,"Debt &amp; Competitive Analysis";#N/A,#N/A,FALSE,"Grove Model";#N/A,#N/A,FALSE,"T&amp;C Model"}</definedName>
    <definedName name="sgdh1" localSheetId="3" hidden="1">{#N/A,#N/A,FALSE,"Comp Co";#N/A,#N/A,FALSE,"Debt &amp; Competitive Analysis";#N/A,#N/A,FALSE,"Grove Model";#N/A,#N/A,FALSE,"T&amp;C Model"}</definedName>
    <definedName name="sgdh1" hidden="1">{#N/A,#N/A,FALSE,"Comp Co";#N/A,#N/A,FALSE,"Debt &amp; Competitive Analysis";#N/A,#N/A,FALSE,"Grove Model";#N/A,#N/A,FALSE,"T&amp;C Model"}</definedName>
    <definedName name="sgdh1_1" localSheetId="6" hidden="1">{#N/A,#N/A,FALSE,"Comp Co";#N/A,#N/A,FALSE,"Debt &amp; Competitive Analysis";#N/A,#N/A,FALSE,"Grove Model";#N/A,#N/A,FALSE,"T&amp;C Model"}</definedName>
    <definedName name="sgdh1_1" localSheetId="5" hidden="1">{#N/A,#N/A,FALSE,"Comp Co";#N/A,#N/A,FALSE,"Debt &amp; Competitive Analysis";#N/A,#N/A,FALSE,"Grove Model";#N/A,#N/A,FALSE,"T&amp;C Model"}</definedName>
    <definedName name="sgdh1_1" localSheetId="4" hidden="1">{#N/A,#N/A,FALSE,"Comp Co";#N/A,#N/A,FALSE,"Debt &amp; Competitive Analysis";#N/A,#N/A,FALSE,"Grove Model";#N/A,#N/A,FALSE,"T&amp;C Model"}</definedName>
    <definedName name="sgdh1_1" localSheetId="3" hidden="1">{#N/A,#N/A,FALSE,"Comp Co";#N/A,#N/A,FALSE,"Debt &amp; Competitive Analysis";#N/A,#N/A,FALSE,"Grove Model";#N/A,#N/A,FALSE,"T&amp;C Model"}</definedName>
    <definedName name="sgdh1_1" hidden="1">{#N/A,#N/A,FALSE,"Comp Co";#N/A,#N/A,FALSE,"Debt &amp; Competitive Analysis";#N/A,#N/A,FALSE,"Grove Model";#N/A,#N/A,FALSE,"T&amp;C Model"}</definedName>
    <definedName name="shareoutltm" hidden="1">'[14]WP_Hist ABC'!#REF!</definedName>
    <definedName name="sharepriceltm" hidden="1">'[14]WP_Hist ABC'!#REF!</definedName>
    <definedName name="SOFT" localSheetId="3">'[28] Employees for 2023'!#REF!</definedName>
    <definedName name="SOFT">[26]EMPLOYEES!#REF!</definedName>
    <definedName name="softwaredev">[27]Roles!$M$5</definedName>
    <definedName name="solver_adj" localSheetId="6" hidden="1">#REF!</definedName>
    <definedName name="solver_adj" localSheetId="5" hidden="1">#REF!</definedName>
    <definedName name="solver_adj" localSheetId="4" hidden="1">#REF!</definedName>
    <definedName name="solver_adj" localSheetId="3" hidden="1">#REF!</definedName>
    <definedName name="solver_adj" hidden="1">#REF!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0</definedName>
    <definedName name="solver_neg" hidden="1">2</definedName>
    <definedName name="solver_num" hidden="1">0</definedName>
    <definedName name="solver_nwt" hidden="1">1</definedName>
    <definedName name="solver_opt" localSheetId="6" hidden="1">#REF!</definedName>
    <definedName name="solver_opt" localSheetId="5" hidden="1">#REF!</definedName>
    <definedName name="solver_opt" localSheetId="4" hidden="1">#REF!</definedName>
    <definedName name="solver_opt" localSheetId="3" hidden="1">#REF!</definedName>
    <definedName name="solver_opt" hidden="1">#REF!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3</definedName>
    <definedName name="solver_val" hidden="1">0</definedName>
    <definedName name="Swvu.FRP_BACKLOG1." localSheetId="6" hidden="1">#REF!</definedName>
    <definedName name="Swvu.FRP_BACKLOG1." localSheetId="5" hidden="1">#REF!</definedName>
    <definedName name="Swvu.FRP_BACKLOG1." localSheetId="4" hidden="1">#REF!</definedName>
    <definedName name="Swvu.FRP_BACKLOG1." localSheetId="3" hidden="1">#REF!</definedName>
    <definedName name="Swvu.FRP_BACKLOG1." hidden="1">#REF!</definedName>
    <definedName name="Swvu.FRP_backlog2." localSheetId="6" hidden="1">#REF!</definedName>
    <definedName name="Swvu.FRP_backlog2." localSheetId="5" hidden="1">#REF!</definedName>
    <definedName name="Swvu.FRP_backlog2." localSheetId="4" hidden="1">#REF!</definedName>
    <definedName name="Swvu.FRP_backlog2." localSheetId="3" hidden="1">#REF!</definedName>
    <definedName name="Swvu.FRP_backlog2." hidden="1">#REF!</definedName>
    <definedName name="TextRefCopyRangeCount" hidden="1">1</definedName>
    <definedName name="Threeyr_Data" localSheetId="6" hidden="1">#REF!</definedName>
    <definedName name="Threeyr_Data" localSheetId="5" hidden="1">#REF!</definedName>
    <definedName name="Threeyr_Data" localSheetId="4" hidden="1">#REF!</definedName>
    <definedName name="Threeyr_Data" localSheetId="3" hidden="1">#REF!</definedName>
    <definedName name="Threeyr_Data" hidden="1">#REF!</definedName>
    <definedName name="tickname" localSheetId="5" hidden="1">'[14]WP_Hist ABC'!#REF!</definedName>
    <definedName name="tickname" hidden="1">'[14]WP_Hist ABC'!#REF!</definedName>
    <definedName name="tim" localSheetId="6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tim" localSheetId="5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tim" localSheetId="4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tim" localSheetId="3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tim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tim_1" localSheetId="6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tim_1" localSheetId="5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tim_1" localSheetId="4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tim_1" localSheetId="3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tim_1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totcap" localSheetId="6" hidden="1">#REF!,#REF!,#REF!,#REF!</definedName>
    <definedName name="totcap" localSheetId="5" hidden="1">#REF!,#REF!,#REF!,#REF!</definedName>
    <definedName name="totcap" localSheetId="4" hidden="1">#REF!,#REF!,#REF!,#REF!</definedName>
    <definedName name="totcap" localSheetId="3" hidden="1">#REF!,#REF!,#REF!,#REF!</definedName>
    <definedName name="totcap" hidden="1">#REF!,#REF!,#REF!,#REF!</definedName>
    <definedName name="train" localSheetId="6" hidden="1">{TRUE,TRUE,4.75,-2,591,327,FALSE,TRUE,TRUE,TRUE,0,26,#N/A,1,#N/A,13.6909090909091,25.0666666666667,1,FALSE,FALSE,1,TRUE,1,FALSE,100,"Swvu.FRP_backlog2.","ACwvu.FRP_backlog2.",#N/A,FALSE,FALSE,1,1,1,0.75,2,"","&amp;L&amp;F&amp;C&amp;A&amp;R&amp;D",FALSE,FALSE,FALSE,FALSE,1,75,#N/A,#N/A,"=R1C1:R61C33","=C1:C4","Rwvu.FRP_backlog2.",#N/A,FALSE,FALSE,TRUE,1,4294967292,300,FALSE,FALSE,TRUE,TRUE,TRUE}</definedName>
    <definedName name="train" localSheetId="5" hidden="1">{TRUE,TRUE,4.75,-2,591,327,FALSE,TRUE,TRUE,TRUE,0,26,#N/A,1,#N/A,13.6909090909091,25.0666666666667,1,FALSE,FALSE,1,TRUE,1,FALSE,100,"Swvu.FRP_backlog2.","ACwvu.FRP_backlog2.",#N/A,FALSE,FALSE,1,1,1,0.75,2,"","&amp;L&amp;F&amp;C&amp;A&amp;R&amp;D",FALSE,FALSE,FALSE,FALSE,1,75,#N/A,#N/A,"=R1C1:R61C33","=C1:C4","Rwvu.FRP_backlog2.",#N/A,FALSE,FALSE,TRUE,1,4294967292,300,FALSE,FALSE,TRUE,TRUE,TRUE}</definedName>
    <definedName name="train" localSheetId="4" hidden="1">{TRUE,TRUE,4.75,-2,591,327,FALSE,TRUE,TRUE,TRUE,0,26,#N/A,1,#N/A,13.6909090909091,25.0666666666667,1,FALSE,FALSE,1,TRUE,1,FALSE,100,"Swvu.FRP_backlog2.","ACwvu.FRP_backlog2.",#N/A,FALSE,FALSE,1,1,1,0.75,2,"","&amp;L&amp;F&amp;C&amp;A&amp;R&amp;D",FALSE,FALSE,FALSE,FALSE,1,75,#N/A,#N/A,"=R1C1:R61C33","=C1:C4","Rwvu.FRP_backlog2.",#N/A,FALSE,FALSE,TRUE,1,4294967292,300,FALSE,FALSE,TRUE,TRUE,TRUE}</definedName>
    <definedName name="train" localSheetId="3" hidden="1">{TRUE,TRUE,4.75,-2,591,327,FALSE,TRUE,TRUE,TRUE,0,26,#N/A,1,#N/A,13.6909090909091,25.0666666666667,1,FALSE,FALSE,1,TRUE,1,FALSE,100,"Swvu.FRP_backlog2.","ACwvu.FRP_backlog2.",#N/A,FALSE,FALSE,1,1,1,0.75,2,"","&amp;L&amp;F&amp;C&amp;A&amp;R&amp;D",FALSE,FALSE,FALSE,FALSE,1,75,#N/A,#N/A,"=R1C1:R61C33","=C1:C4","Rwvu.FRP_backlog2.",#N/A,FALSE,FALSE,TRUE,1,4294967292,300,FALSE,FALSE,TRUE,TRUE,TRUE}</definedName>
    <definedName name="train" hidden="1">{TRUE,TRUE,4.75,-2,591,327,FALSE,TRUE,TRUE,TRUE,0,26,#N/A,1,#N/A,13.6909090909091,25.0666666666667,1,FALSE,FALSE,1,TRUE,1,FALSE,100,"Swvu.FRP_backlog2.","ACwvu.FRP_backlog2.",#N/A,FALSE,FALSE,1,1,1,0.75,2,"","&amp;L&amp;F&amp;C&amp;A&amp;R&amp;D",FALSE,FALSE,FALSE,FALSE,1,75,#N/A,#N/A,"=R1C1:R61C33","=C1:C4","Rwvu.FRP_backlog2.",#N/A,FALSE,FALSE,TRUE,1,4294967292,300,FALSE,FALSE,TRUE,TRUE,TRUE}</definedName>
    <definedName name="train_1" localSheetId="6" hidden="1">{TRUE,TRUE,4.75,-2,591,327,FALSE,TRUE,TRUE,TRUE,0,26,#N/A,1,#N/A,13.6909090909091,25.0666666666667,1,FALSE,FALSE,1,TRUE,1,FALSE,100,"Swvu.FRP_backlog2.","ACwvu.FRP_backlog2.",#N/A,FALSE,FALSE,1,1,1,0.75,2,"","&amp;L&amp;F&amp;C&amp;A&amp;R&amp;D",FALSE,FALSE,FALSE,FALSE,1,75,#N/A,#N/A,"=R1C1:R61C33","=C1:C4","Rwvu.FRP_backlog2.",#N/A,FALSE,FALSE,TRUE,1,4294967292,300,FALSE,FALSE,TRUE,TRUE,TRUE}</definedName>
    <definedName name="train_1" localSheetId="5" hidden="1">{TRUE,TRUE,4.75,-2,591,327,FALSE,TRUE,TRUE,TRUE,0,26,#N/A,1,#N/A,13.6909090909091,25.0666666666667,1,FALSE,FALSE,1,TRUE,1,FALSE,100,"Swvu.FRP_backlog2.","ACwvu.FRP_backlog2.",#N/A,FALSE,FALSE,1,1,1,0.75,2,"","&amp;L&amp;F&amp;C&amp;A&amp;R&amp;D",FALSE,FALSE,FALSE,FALSE,1,75,#N/A,#N/A,"=R1C1:R61C33","=C1:C4","Rwvu.FRP_backlog2.",#N/A,FALSE,FALSE,TRUE,1,4294967292,300,FALSE,FALSE,TRUE,TRUE,TRUE}</definedName>
    <definedName name="train_1" localSheetId="4" hidden="1">{TRUE,TRUE,4.75,-2,591,327,FALSE,TRUE,TRUE,TRUE,0,26,#N/A,1,#N/A,13.6909090909091,25.0666666666667,1,FALSE,FALSE,1,TRUE,1,FALSE,100,"Swvu.FRP_backlog2.","ACwvu.FRP_backlog2.",#N/A,FALSE,FALSE,1,1,1,0.75,2,"","&amp;L&amp;F&amp;C&amp;A&amp;R&amp;D",FALSE,FALSE,FALSE,FALSE,1,75,#N/A,#N/A,"=R1C1:R61C33","=C1:C4","Rwvu.FRP_backlog2.",#N/A,FALSE,FALSE,TRUE,1,4294967292,300,FALSE,FALSE,TRUE,TRUE,TRUE}</definedName>
    <definedName name="train_1" localSheetId="3" hidden="1">{TRUE,TRUE,4.75,-2,591,327,FALSE,TRUE,TRUE,TRUE,0,26,#N/A,1,#N/A,13.6909090909091,25.0666666666667,1,FALSE,FALSE,1,TRUE,1,FALSE,100,"Swvu.FRP_backlog2.","ACwvu.FRP_backlog2.",#N/A,FALSE,FALSE,1,1,1,0.75,2,"","&amp;L&amp;F&amp;C&amp;A&amp;R&amp;D",FALSE,FALSE,FALSE,FALSE,1,75,#N/A,#N/A,"=R1C1:R61C33","=C1:C4","Rwvu.FRP_backlog2.",#N/A,FALSE,FALSE,TRUE,1,4294967292,300,FALSE,FALSE,TRUE,TRUE,TRUE}</definedName>
    <definedName name="train_1" hidden="1">{TRUE,TRUE,4.75,-2,591,327,FALSE,TRUE,TRUE,TRUE,0,26,#N/A,1,#N/A,13.6909090909091,25.0666666666667,1,FALSE,FALSE,1,TRUE,1,FALSE,100,"Swvu.FRP_backlog2.","ACwvu.FRP_backlog2.",#N/A,FALSE,FALSE,1,1,1,0.75,2,"","&amp;L&amp;F&amp;C&amp;A&amp;R&amp;D",FALSE,FALSE,FALSE,FALSE,1,75,#N/A,#N/A,"=R1C1:R61C33","=C1:C4","Rwvu.FRP_backlog2.",#N/A,FALSE,FALSE,TRUE,1,4294967292,300,FALSE,FALSE,TRUE,TRUE,TRUE}</definedName>
    <definedName name="treeList" hidden="1">"10000000000000000000000000000000000000000000000000000000000000000000000000000000000000000000000000000000000000000000000000000000000000000000000000000000000000000000000000000000000000000000000000000000"</definedName>
    <definedName name="triger">[15]PL!$A$86</definedName>
    <definedName name="tt" localSheetId="6" hidden="1">{#N/A,#N/A,FALSE,"contents";#N/A,#N/A,FALSE,"Balance sheet";#N/A,#N/A,FALSE,"Cash-flow";#N/A,#N/A,FALSE,"income";#N/A,#N/A,FALSE,"equity";#N/A,#N/A,FALSE,"notes";#N/A,#N/A,FALSE,"supplemental"}</definedName>
    <definedName name="tt" localSheetId="5" hidden="1">{#N/A,#N/A,FALSE,"contents";#N/A,#N/A,FALSE,"Balance sheet";#N/A,#N/A,FALSE,"Cash-flow";#N/A,#N/A,FALSE,"income";#N/A,#N/A,FALSE,"equity";#N/A,#N/A,FALSE,"notes";#N/A,#N/A,FALSE,"supplemental"}</definedName>
    <definedName name="tt" localSheetId="4" hidden="1">{#N/A,#N/A,FALSE,"contents";#N/A,#N/A,FALSE,"Balance sheet";#N/A,#N/A,FALSE,"Cash-flow";#N/A,#N/A,FALSE,"income";#N/A,#N/A,FALSE,"equity";#N/A,#N/A,FALSE,"notes";#N/A,#N/A,FALSE,"supplemental"}</definedName>
    <definedName name="tt" localSheetId="3" hidden="1">{#N/A,#N/A,FALSE,"contents";#N/A,#N/A,FALSE,"Balance sheet";#N/A,#N/A,FALSE,"Cash-flow";#N/A,#N/A,FALSE,"income";#N/A,#N/A,FALSE,"equity";#N/A,#N/A,FALSE,"notes";#N/A,#N/A,FALSE,"supplemental"}</definedName>
    <definedName name="tt" hidden="1">{#N/A,#N/A,FALSE,"contents";#N/A,#N/A,FALSE,"Balance sheet";#N/A,#N/A,FALSE,"Cash-flow";#N/A,#N/A,FALSE,"income";#N/A,#N/A,FALSE,"equity";#N/A,#N/A,FALSE,"notes";#N/A,#N/A,FALSE,"supplemental"}</definedName>
    <definedName name="tt_1" localSheetId="6" hidden="1">{#N/A,#N/A,FALSE,"contents";#N/A,#N/A,FALSE,"Balance sheet";#N/A,#N/A,FALSE,"Cash-flow";#N/A,#N/A,FALSE,"income";#N/A,#N/A,FALSE,"equity";#N/A,#N/A,FALSE,"notes";#N/A,#N/A,FALSE,"supplemental"}</definedName>
    <definedName name="tt_1" localSheetId="5" hidden="1">{#N/A,#N/A,FALSE,"contents";#N/A,#N/A,FALSE,"Balance sheet";#N/A,#N/A,FALSE,"Cash-flow";#N/A,#N/A,FALSE,"income";#N/A,#N/A,FALSE,"equity";#N/A,#N/A,FALSE,"notes";#N/A,#N/A,FALSE,"supplemental"}</definedName>
    <definedName name="tt_1" localSheetId="4" hidden="1">{#N/A,#N/A,FALSE,"contents";#N/A,#N/A,FALSE,"Balance sheet";#N/A,#N/A,FALSE,"Cash-flow";#N/A,#N/A,FALSE,"income";#N/A,#N/A,FALSE,"equity";#N/A,#N/A,FALSE,"notes";#N/A,#N/A,FALSE,"supplemental"}</definedName>
    <definedName name="tt_1" localSheetId="3" hidden="1">{#N/A,#N/A,FALSE,"contents";#N/A,#N/A,FALSE,"Balance sheet";#N/A,#N/A,FALSE,"Cash-flow";#N/A,#N/A,FALSE,"income";#N/A,#N/A,FALSE,"equity";#N/A,#N/A,FALSE,"notes";#N/A,#N/A,FALSE,"supplemental"}</definedName>
    <definedName name="tt_1" hidden="1">{#N/A,#N/A,FALSE,"contents";#N/A,#N/A,FALSE,"Balance sheet";#N/A,#N/A,FALSE,"Cash-flow";#N/A,#N/A,FALSE,"income";#N/A,#N/A,FALSE,"equity";#N/A,#N/A,FALSE,"notes";#N/A,#N/A,FALSE,"supplemental"}</definedName>
    <definedName name="tynonasset" hidden="1">'[17]Mult-3yr'!#REF!</definedName>
    <definedName name="wrn.All." localSheetId="6" hidden="1">{#N/A,#N/A,FALSE,"Comp Co";#N/A,#N/A,FALSE,"Debt &amp; Competitive Analysis";#N/A,#N/A,FALSE,"Grove Model";#N/A,#N/A,FALSE,"T&amp;C Model"}</definedName>
    <definedName name="wrn.All." localSheetId="5" hidden="1">{#N/A,#N/A,FALSE,"Comp Co";#N/A,#N/A,FALSE,"Debt &amp; Competitive Analysis";#N/A,#N/A,FALSE,"Grove Model";#N/A,#N/A,FALSE,"T&amp;C Model"}</definedName>
    <definedName name="wrn.All." localSheetId="4" hidden="1">{#N/A,#N/A,FALSE,"Comp Co";#N/A,#N/A,FALSE,"Debt &amp; Competitive Analysis";#N/A,#N/A,FALSE,"Grove Model";#N/A,#N/A,FALSE,"T&amp;C Model"}</definedName>
    <definedName name="wrn.All." localSheetId="3" hidden="1">{#N/A,#N/A,FALSE,"Comp Co";#N/A,#N/A,FALSE,"Debt &amp; Competitive Analysis";#N/A,#N/A,FALSE,"Grove Model";#N/A,#N/A,FALSE,"T&amp;C Model"}</definedName>
    <definedName name="wrn.All." hidden="1">{#N/A,#N/A,FALSE,"Comp Co";#N/A,#N/A,FALSE,"Debt &amp; Competitive Analysis";#N/A,#N/A,FALSE,"Grove Model";#N/A,#N/A,FALSE,"T&amp;C Model"}</definedName>
    <definedName name="wrn.All._.Tables._.Base._.Case." localSheetId="6" hidden="1">{"Main Tables","Base Case",TRUE,"Financials";"Main Tables",#N/A,TRUE,"Capital"}</definedName>
    <definedName name="wrn.All._.Tables._.Base._.Case." localSheetId="5" hidden="1">{"Main Tables","Base Case",TRUE,"Financials";"Main Tables",#N/A,TRUE,"Capital"}</definedName>
    <definedName name="wrn.All._.Tables._.Base._.Case." localSheetId="4" hidden="1">{"Main Tables","Base Case",TRUE,"Financials";"Main Tables",#N/A,TRUE,"Capital"}</definedName>
    <definedName name="wrn.All._.Tables._.Base._.Case." localSheetId="3" hidden="1">{"Main Tables","Base Case",TRUE,"Financials";"Main Tables",#N/A,TRUE,"Capital"}</definedName>
    <definedName name="wrn.All._.Tables._.Base._.Case." hidden="1">{"Main Tables","Base Case",TRUE,"Financials";"Main Tables",#N/A,TRUE,"Capital"}</definedName>
    <definedName name="wrn.All._.Tables._.Base._.Case._1" localSheetId="6" hidden="1">{"Main Tables","Base Case",TRUE,"Financials";"Main Tables",#N/A,TRUE,"Capital"}</definedName>
    <definedName name="wrn.All._.Tables._.Base._.Case._1" localSheetId="5" hidden="1">{"Main Tables","Base Case",TRUE,"Financials";"Main Tables",#N/A,TRUE,"Capital"}</definedName>
    <definedName name="wrn.All._.Tables._.Base._.Case._1" localSheetId="4" hidden="1">{"Main Tables","Base Case",TRUE,"Financials";"Main Tables",#N/A,TRUE,"Capital"}</definedName>
    <definedName name="wrn.All._.Tables._.Base._.Case._1" localSheetId="3" hidden="1">{"Main Tables","Base Case",TRUE,"Financials";"Main Tables",#N/A,TRUE,"Capital"}</definedName>
    <definedName name="wrn.All._.Tables._.Base._.Case._1" hidden="1">{"Main Tables","Base Case",TRUE,"Financials";"Main Tables",#N/A,TRUE,"Capital"}</definedName>
    <definedName name="wrn.All._1" localSheetId="6" hidden="1">{#N/A,#N/A,FALSE,"Comp Co";#N/A,#N/A,FALSE,"Debt &amp; Competitive Analysis";#N/A,#N/A,FALSE,"Grove Model";#N/A,#N/A,FALSE,"T&amp;C Model"}</definedName>
    <definedName name="wrn.All._1" localSheetId="5" hidden="1">{#N/A,#N/A,FALSE,"Comp Co";#N/A,#N/A,FALSE,"Debt &amp; Competitive Analysis";#N/A,#N/A,FALSE,"Grove Model";#N/A,#N/A,FALSE,"T&amp;C Model"}</definedName>
    <definedName name="wrn.All._1" localSheetId="4" hidden="1">{#N/A,#N/A,FALSE,"Comp Co";#N/A,#N/A,FALSE,"Debt &amp; Competitive Analysis";#N/A,#N/A,FALSE,"Grove Model";#N/A,#N/A,FALSE,"T&amp;C Model"}</definedName>
    <definedName name="wrn.All._1" localSheetId="3" hidden="1">{#N/A,#N/A,FALSE,"Comp Co";#N/A,#N/A,FALSE,"Debt &amp; Competitive Analysis";#N/A,#N/A,FALSE,"Grove Model";#N/A,#N/A,FALSE,"T&amp;C Model"}</definedName>
    <definedName name="wrn.All._1" hidden="1">{#N/A,#N/A,FALSE,"Comp Co";#N/A,#N/A,FALSE,"Debt &amp; Competitive Analysis";#N/A,#N/A,FALSE,"Grove Model";#N/A,#N/A,FALSE,"T&amp;C Model"}</definedName>
    <definedName name="wrn.all1" localSheetId="6" hidden="1">{#N/A,#N/A,FALSE,"Comp Co";#N/A,#N/A,FALSE,"Debt &amp; Competitive Analysis";#N/A,#N/A,FALSE,"Grove Model";#N/A,#N/A,FALSE,"T&amp;C Model"}</definedName>
    <definedName name="wrn.all1" localSheetId="5" hidden="1">{#N/A,#N/A,FALSE,"Comp Co";#N/A,#N/A,FALSE,"Debt &amp; Competitive Analysis";#N/A,#N/A,FALSE,"Grove Model";#N/A,#N/A,FALSE,"T&amp;C Model"}</definedName>
    <definedName name="wrn.all1" localSheetId="4" hidden="1">{#N/A,#N/A,FALSE,"Comp Co";#N/A,#N/A,FALSE,"Debt &amp; Competitive Analysis";#N/A,#N/A,FALSE,"Grove Model";#N/A,#N/A,FALSE,"T&amp;C Model"}</definedName>
    <definedName name="wrn.all1" localSheetId="3" hidden="1">{#N/A,#N/A,FALSE,"Comp Co";#N/A,#N/A,FALSE,"Debt &amp; Competitive Analysis";#N/A,#N/A,FALSE,"Grove Model";#N/A,#N/A,FALSE,"T&amp;C Model"}</definedName>
    <definedName name="wrn.all1" hidden="1">{#N/A,#N/A,FALSE,"Comp Co";#N/A,#N/A,FALSE,"Debt &amp; Competitive Analysis";#N/A,#N/A,FALSE,"Grove Model";#N/A,#N/A,FALSE,"T&amp;C Model"}</definedName>
    <definedName name="wrn.all1_1" localSheetId="6" hidden="1">{#N/A,#N/A,FALSE,"Comp Co";#N/A,#N/A,FALSE,"Debt &amp; Competitive Analysis";#N/A,#N/A,FALSE,"Grove Model";#N/A,#N/A,FALSE,"T&amp;C Model"}</definedName>
    <definedName name="wrn.all1_1" localSheetId="5" hidden="1">{#N/A,#N/A,FALSE,"Comp Co";#N/A,#N/A,FALSE,"Debt &amp; Competitive Analysis";#N/A,#N/A,FALSE,"Grove Model";#N/A,#N/A,FALSE,"T&amp;C Model"}</definedName>
    <definedName name="wrn.all1_1" localSheetId="4" hidden="1">{#N/A,#N/A,FALSE,"Comp Co";#N/A,#N/A,FALSE,"Debt &amp; Competitive Analysis";#N/A,#N/A,FALSE,"Grove Model";#N/A,#N/A,FALSE,"T&amp;C Model"}</definedName>
    <definedName name="wrn.all1_1" localSheetId="3" hidden="1">{#N/A,#N/A,FALSE,"Comp Co";#N/A,#N/A,FALSE,"Debt &amp; Competitive Analysis";#N/A,#N/A,FALSE,"Grove Model";#N/A,#N/A,FALSE,"T&amp;C Model"}</definedName>
    <definedName name="wrn.all1_1" hidden="1">{#N/A,#N/A,FALSE,"Comp Co";#N/A,#N/A,FALSE,"Debt &amp; Competitive Analysis";#N/A,#N/A,FALSE,"Grove Model";#N/A,#N/A,FALSE,"T&amp;C Model"}</definedName>
    <definedName name="wrn.Asia." localSheetId="6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" localSheetId="5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" localSheetId="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" localSheetId="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" localSheetId="6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" localSheetId="5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" localSheetId="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" localSheetId="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CM" localSheetId="6" hidden="1">{#N/A,#N/A,FALSE,"FAB VENDORS";"BUD SUM",#N/A,FALSE,"BUD SUM WO TEX"}</definedName>
    <definedName name="WRN.CM" localSheetId="5" hidden="1">{#N/A,#N/A,FALSE,"FAB VENDORS";"BUD SUM",#N/A,FALSE,"BUD SUM WO TEX"}</definedName>
    <definedName name="WRN.CM" localSheetId="4" hidden="1">{#N/A,#N/A,FALSE,"FAB VENDORS";"BUD SUM",#N/A,FALSE,"BUD SUM WO TEX"}</definedName>
    <definedName name="WRN.CM" localSheetId="3" hidden="1">{#N/A,#N/A,FALSE,"FAB VENDORS";"BUD SUM",#N/A,FALSE,"BUD SUM WO TEX"}</definedName>
    <definedName name="WRN.CM" hidden="1">{#N/A,#N/A,FALSE,"FAB VENDORS";"BUD SUM",#N/A,FALSE,"BUD SUM WO TEX"}</definedName>
    <definedName name="WRN.CM_1" localSheetId="6" hidden="1">{#N/A,#N/A,FALSE,"FAB VENDORS";"BUD SUM",#N/A,FALSE,"BUD SUM WO TEX"}</definedName>
    <definedName name="WRN.CM_1" localSheetId="5" hidden="1">{#N/A,#N/A,FALSE,"FAB VENDORS";"BUD SUM",#N/A,FALSE,"BUD SUM WO TEX"}</definedName>
    <definedName name="WRN.CM_1" localSheetId="4" hidden="1">{#N/A,#N/A,FALSE,"FAB VENDORS";"BUD SUM",#N/A,FALSE,"BUD SUM WO TEX"}</definedName>
    <definedName name="WRN.CM_1" localSheetId="3" hidden="1">{#N/A,#N/A,FALSE,"FAB VENDORS";"BUD SUM",#N/A,FALSE,"BUD SUM WO TEX"}</definedName>
    <definedName name="WRN.CM_1" hidden="1">{#N/A,#N/A,FALSE,"FAB VENDORS";"BUD SUM",#N/A,FALSE,"BUD SUM WO TEX"}</definedName>
    <definedName name="wrn.CMT._.06._.30._.01." localSheetId="6" hidden="1">{#N/A,#N/A,FALSE,"contents";#N/A,#N/A,FALSE,"balance sheet";#N/A,#N/A,FALSE,"income";#N/A,#N/A,FALSE,"cash flow";#N/A,#N/A,FALSE,"equity";#N/A,#N/A,FALSE,"notes";#N/A,#N/A,FALSE,"Expenses"}</definedName>
    <definedName name="wrn.CMT._.06._.30._.01." localSheetId="5" hidden="1">{#N/A,#N/A,FALSE,"contents";#N/A,#N/A,FALSE,"balance sheet";#N/A,#N/A,FALSE,"income";#N/A,#N/A,FALSE,"cash flow";#N/A,#N/A,FALSE,"equity";#N/A,#N/A,FALSE,"notes";#N/A,#N/A,FALSE,"Expenses"}</definedName>
    <definedName name="wrn.CMT._.06._.30._.01." localSheetId="4" hidden="1">{#N/A,#N/A,FALSE,"contents";#N/A,#N/A,FALSE,"balance sheet";#N/A,#N/A,FALSE,"income";#N/A,#N/A,FALSE,"cash flow";#N/A,#N/A,FALSE,"equity";#N/A,#N/A,FALSE,"notes";#N/A,#N/A,FALSE,"Expenses"}</definedName>
    <definedName name="wrn.CMT._.06._.30._.01." localSheetId="3" hidden="1">{#N/A,#N/A,FALSE,"contents";#N/A,#N/A,FALSE,"balance sheet";#N/A,#N/A,FALSE,"income";#N/A,#N/A,FALSE,"cash flow";#N/A,#N/A,FALSE,"equity";#N/A,#N/A,FALSE,"notes";#N/A,#N/A,FALSE,"Expenses"}</definedName>
    <definedName name="wrn.CMT._.06._.30._.01." hidden="1">{#N/A,#N/A,FALSE,"contents";#N/A,#N/A,FALSE,"balance sheet";#N/A,#N/A,FALSE,"income";#N/A,#N/A,FALSE,"cash flow";#N/A,#N/A,FALSE,"equity";#N/A,#N/A,FALSE,"notes";#N/A,#N/A,FALSE,"Expenses"}</definedName>
    <definedName name="wrn.CMT._.06._.30._.01._1" localSheetId="6" hidden="1">{#N/A,#N/A,FALSE,"contents";#N/A,#N/A,FALSE,"balance sheet";#N/A,#N/A,FALSE,"income";#N/A,#N/A,FALSE,"cash flow";#N/A,#N/A,FALSE,"equity";#N/A,#N/A,FALSE,"notes";#N/A,#N/A,FALSE,"Expenses"}</definedName>
    <definedName name="wrn.CMT._.06._.30._.01._1" localSheetId="5" hidden="1">{#N/A,#N/A,FALSE,"contents";#N/A,#N/A,FALSE,"balance sheet";#N/A,#N/A,FALSE,"income";#N/A,#N/A,FALSE,"cash flow";#N/A,#N/A,FALSE,"equity";#N/A,#N/A,FALSE,"notes";#N/A,#N/A,FALSE,"Expenses"}</definedName>
    <definedName name="wrn.CMT._.06._.30._.01._1" localSheetId="4" hidden="1">{#N/A,#N/A,FALSE,"contents";#N/A,#N/A,FALSE,"balance sheet";#N/A,#N/A,FALSE,"income";#N/A,#N/A,FALSE,"cash flow";#N/A,#N/A,FALSE,"equity";#N/A,#N/A,FALSE,"notes";#N/A,#N/A,FALSE,"Expenses"}</definedName>
    <definedName name="wrn.CMT._.06._.30._.01._1" localSheetId="3" hidden="1">{#N/A,#N/A,FALSE,"contents";#N/A,#N/A,FALSE,"balance sheet";#N/A,#N/A,FALSE,"income";#N/A,#N/A,FALSE,"cash flow";#N/A,#N/A,FALSE,"equity";#N/A,#N/A,FALSE,"notes";#N/A,#N/A,FALSE,"Expenses"}</definedName>
    <definedName name="wrn.CMT._.06._.30._.01._1" hidden="1">{#N/A,#N/A,FALSE,"contents";#N/A,#N/A,FALSE,"balance sheet";#N/A,#N/A,FALSE,"income";#N/A,#N/A,FALSE,"cash flow";#N/A,#N/A,FALSE,"equity";#N/A,#N/A,FALSE,"notes";#N/A,#N/A,FALSE,"Expenses"}</definedName>
    <definedName name="wrn.contribution." localSheetId="6" hidden="1">{#N/A,#N/A,FALSE,"Contribution Analysis"}</definedName>
    <definedName name="wrn.contribution." localSheetId="5" hidden="1">{#N/A,#N/A,FALSE,"Contribution Analysis"}</definedName>
    <definedName name="wrn.contribution." localSheetId="4" hidden="1">{#N/A,#N/A,FALSE,"Contribution Analysis"}</definedName>
    <definedName name="wrn.contribution." localSheetId="3" hidden="1">{#N/A,#N/A,FALSE,"Contribution Analysis"}</definedName>
    <definedName name="wrn.contribution." hidden="1">{#N/A,#N/A,FALSE,"Contribution Analysis"}</definedName>
    <definedName name="wrn.contribution._1" localSheetId="6" hidden="1">{#N/A,#N/A,FALSE,"Contribution Analysis"}</definedName>
    <definedName name="wrn.contribution._1" localSheetId="5" hidden="1">{#N/A,#N/A,FALSE,"Contribution Analysis"}</definedName>
    <definedName name="wrn.contribution._1" localSheetId="4" hidden="1">{#N/A,#N/A,FALSE,"Contribution Analysis"}</definedName>
    <definedName name="wrn.contribution._1" localSheetId="3" hidden="1">{#N/A,#N/A,FALSE,"Contribution Analysis"}</definedName>
    <definedName name="wrn.contribution._1" hidden="1">{#N/A,#N/A,FALSE,"Contribution Analysis"}</definedName>
    <definedName name="wrn.contributory._.asset._.charges." localSheetId="6" hidden="1">{"contributory1",#N/A,FALSE,"Contributory Assets Detail";"contributory2",#N/A,FALSE,"Contributory Assets Detail"}</definedName>
    <definedName name="wrn.contributory._.asset._.charges." localSheetId="5" hidden="1">{"contributory1",#N/A,FALSE,"Contributory Assets Detail";"contributory2",#N/A,FALSE,"Contributory Assets Detail"}</definedName>
    <definedName name="wrn.contributory._.asset._.charges." localSheetId="4" hidden="1">{"contributory1",#N/A,FALSE,"Contributory Assets Detail";"contributory2",#N/A,FALSE,"Contributory Assets Detail"}</definedName>
    <definedName name="wrn.contributory._.asset._.charges." localSheetId="3" hidden="1">{"contributory1",#N/A,FALSE,"Contributory Assets Detail";"contributory2",#N/A,FALSE,"Contributory Assets Detail"}</definedName>
    <definedName name="wrn.contributory._.asset._.charges." hidden="1">{"contributory1",#N/A,FALSE,"Contributory Assets Detail";"contributory2",#N/A,FALSE,"Contributory Assets Detail"}</definedName>
    <definedName name="wrn.contributory._.asset._.charges._1" localSheetId="6" hidden="1">{"contributory1",#N/A,FALSE,"Contributory Assets Detail";"contributory2",#N/A,FALSE,"Contributory Assets Detail"}</definedName>
    <definedName name="wrn.contributory._.asset._.charges._1" localSheetId="5" hidden="1">{"contributory1",#N/A,FALSE,"Contributory Assets Detail";"contributory2",#N/A,FALSE,"Contributory Assets Detail"}</definedName>
    <definedName name="wrn.contributory._.asset._.charges._1" localSheetId="4" hidden="1">{"contributory1",#N/A,FALSE,"Contributory Assets Detail";"contributory2",#N/A,FALSE,"Contributory Assets Detail"}</definedName>
    <definedName name="wrn.contributory._.asset._.charges._1" localSheetId="3" hidden="1">{"contributory1",#N/A,FALSE,"Contributory Assets Detail";"contributory2",#N/A,FALSE,"Contributory Assets Detail"}</definedName>
    <definedName name="wrn.contributory._.asset._.charges._1" hidden="1">{"contributory1",#N/A,FALSE,"Contributory Assets Detail";"contributory2",#N/A,FALSE,"Contributory Assets Detail"}</definedName>
    <definedName name="wrn.Cover." localSheetId="6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" localSheetId="5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" localSheetId="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" localSheetId="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" localSheetId="6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" localSheetId="5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" localSheetId="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" localSheetId="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sc." localSheetId="6" hidden="1">{"orixcsc",#N/A,FALSE,"ORIX CSC";"orixcsc2",#N/A,FALSE,"ORIX CSC"}</definedName>
    <definedName name="wrn.csc." localSheetId="5" hidden="1">{"orixcsc",#N/A,FALSE,"ORIX CSC";"orixcsc2",#N/A,FALSE,"ORIX CSC"}</definedName>
    <definedName name="wrn.csc." localSheetId="4" hidden="1">{"orixcsc",#N/A,FALSE,"ORIX CSC";"orixcsc2",#N/A,FALSE,"ORIX CSC"}</definedName>
    <definedName name="wrn.csc." localSheetId="3" hidden="1">{"orixcsc",#N/A,FALSE,"ORIX CSC";"orixcsc2",#N/A,FALSE,"ORIX CSC"}</definedName>
    <definedName name="wrn.csc." hidden="1">{"orixcsc",#N/A,FALSE,"ORIX CSC";"orixcsc2",#N/A,FALSE,"ORIX CSC"}</definedName>
    <definedName name="wrn.csc._1" localSheetId="6" hidden="1">{"orixcsc",#N/A,FALSE,"ORIX CSC";"orixcsc2",#N/A,FALSE,"ORIX CSC"}</definedName>
    <definedName name="wrn.csc._1" localSheetId="5" hidden="1">{"orixcsc",#N/A,FALSE,"ORIX CSC";"orixcsc2",#N/A,FALSE,"ORIX CSC"}</definedName>
    <definedName name="wrn.csc._1" localSheetId="4" hidden="1">{"orixcsc",#N/A,FALSE,"ORIX CSC";"orixcsc2",#N/A,FALSE,"ORIX CSC"}</definedName>
    <definedName name="wrn.csc._1" localSheetId="3" hidden="1">{"orixcsc",#N/A,FALSE,"ORIX CSC";"orixcsc2",#N/A,FALSE,"ORIX CSC"}</definedName>
    <definedName name="wrn.csc._1" hidden="1">{"orixcsc",#N/A,FALSE,"ORIX CSC";"orixcsc2",#N/A,FALSE,"ORIX CSC"}</definedName>
    <definedName name="wrn.csc2." localSheetId="6" hidden="1">{#N/A,#N/A,FALSE,"ORIX CSC"}</definedName>
    <definedName name="wrn.csc2." localSheetId="5" hidden="1">{#N/A,#N/A,FALSE,"ORIX CSC"}</definedName>
    <definedName name="wrn.csc2." localSheetId="4" hidden="1">{#N/A,#N/A,FALSE,"ORIX CSC"}</definedName>
    <definedName name="wrn.csc2." localSheetId="3" hidden="1">{#N/A,#N/A,FALSE,"ORIX CSC"}</definedName>
    <definedName name="wrn.csc2." hidden="1">{#N/A,#N/A,FALSE,"ORIX CSC"}</definedName>
    <definedName name="wrn.csc2._1" localSheetId="6" hidden="1">{#N/A,#N/A,FALSE,"ORIX CSC"}</definedName>
    <definedName name="wrn.csc2._1" localSheetId="5" hidden="1">{#N/A,#N/A,FALSE,"ORIX CSC"}</definedName>
    <definedName name="wrn.csc2._1" localSheetId="4" hidden="1">{#N/A,#N/A,FALSE,"ORIX CSC"}</definedName>
    <definedName name="wrn.csc2._1" localSheetId="3" hidden="1">{#N/A,#N/A,FALSE,"ORIX CSC"}</definedName>
    <definedName name="wrn.csc2._1" hidden="1">{#N/A,#N/A,FALSE,"ORIX CSC"}</definedName>
    <definedName name="wrn.CW." localSheetId="6" hidden="1">{#N/A,#N/A,FALSE,"FAB VENDORS";"BUD SUM",#N/A,FALSE,"BUD SUM WO TEX"}</definedName>
    <definedName name="wrn.CW." localSheetId="5" hidden="1">{#N/A,#N/A,FALSE,"FAB VENDORS";"BUD SUM",#N/A,FALSE,"BUD SUM WO TEX"}</definedName>
    <definedName name="wrn.CW." localSheetId="4" hidden="1">{#N/A,#N/A,FALSE,"FAB VENDORS";"BUD SUM",#N/A,FALSE,"BUD SUM WO TEX"}</definedName>
    <definedName name="wrn.CW." localSheetId="3" hidden="1">{#N/A,#N/A,FALSE,"FAB VENDORS";"BUD SUM",#N/A,FALSE,"BUD SUM WO TEX"}</definedName>
    <definedName name="wrn.CW." hidden="1">{#N/A,#N/A,FALSE,"FAB VENDORS";"BUD SUM",#N/A,FALSE,"BUD SUM WO TEX"}</definedName>
    <definedName name="wrn.CW._1" localSheetId="6" hidden="1">{#N/A,#N/A,FALSE,"FAB VENDORS";"BUD SUM",#N/A,FALSE,"BUD SUM WO TEX"}</definedName>
    <definedName name="wrn.CW._1" localSheetId="5" hidden="1">{#N/A,#N/A,FALSE,"FAB VENDORS";"BUD SUM",#N/A,FALSE,"BUD SUM WO TEX"}</definedName>
    <definedName name="wrn.CW._1" localSheetId="4" hidden="1">{#N/A,#N/A,FALSE,"FAB VENDORS";"BUD SUM",#N/A,FALSE,"BUD SUM WO TEX"}</definedName>
    <definedName name="wrn.CW._1" localSheetId="3" hidden="1">{#N/A,#N/A,FALSE,"FAB VENDORS";"BUD SUM",#N/A,FALSE,"BUD SUM WO TEX"}</definedName>
    <definedName name="wrn.CW._1" hidden="1">{#N/A,#N/A,FALSE,"FAB VENDORS";"BUD SUM",#N/A,FALSE,"BUD SUM WO TEX"}</definedName>
    <definedName name="wrn.dcf." localSheetId="6" hidden="1">{"mgmt forecast",#N/A,FALSE,"Mgmt Forecast";"dcf table",#N/A,FALSE,"Mgmt Forecast";"sensitivity",#N/A,FALSE,"Mgmt Forecast";"table inputs",#N/A,FALSE,"Mgmt Forecast";"calculations",#N/A,FALSE,"Mgmt Forecast"}</definedName>
    <definedName name="wrn.dcf." localSheetId="5" hidden="1">{"mgmt forecast",#N/A,FALSE,"Mgmt Forecast";"dcf table",#N/A,FALSE,"Mgmt Forecast";"sensitivity",#N/A,FALSE,"Mgmt Forecast";"table inputs",#N/A,FALSE,"Mgmt Forecast";"calculations",#N/A,FALSE,"Mgmt Forecast"}</definedName>
    <definedName name="wrn.dcf." localSheetId="4" hidden="1">{"mgmt forecast",#N/A,FALSE,"Mgmt Forecast";"dcf table",#N/A,FALSE,"Mgmt Forecast";"sensitivity",#N/A,FALSE,"Mgmt Forecast";"table inputs",#N/A,FALSE,"Mgmt Forecast";"calculations",#N/A,FALSE,"Mgmt Forecast"}</definedName>
    <definedName name="wrn.dcf." localSheetId="3" hidden="1">{"mgmt forecast",#N/A,FALSE,"Mgmt Forecast";"dcf table",#N/A,FALSE,"Mgmt Forecast";"sensitivity",#N/A,FALSE,"Mgmt Forecast";"table inputs",#N/A,FALSE,"Mgmt Forecast";"calculations",#N/A,FALSE,"Mgmt Forecast"}</definedName>
    <definedName name="wrn.dcf." hidden="1">{"mgmt forecast",#N/A,FALSE,"Mgmt Forecast";"dcf table",#N/A,FALSE,"Mgmt Forecast";"sensitivity",#N/A,FALSE,"Mgmt Forecast";"table inputs",#N/A,FALSE,"Mgmt Forecast";"calculations",#N/A,FALSE,"Mgmt Forecast"}</definedName>
    <definedName name="wrn.dcf._1" localSheetId="6" hidden="1">{"mgmt forecast",#N/A,FALSE,"Mgmt Forecast";"dcf table",#N/A,FALSE,"Mgmt Forecast";"sensitivity",#N/A,FALSE,"Mgmt Forecast";"table inputs",#N/A,FALSE,"Mgmt Forecast";"calculations",#N/A,FALSE,"Mgmt Forecast"}</definedName>
    <definedName name="wrn.dcf._1" localSheetId="5" hidden="1">{"mgmt forecast",#N/A,FALSE,"Mgmt Forecast";"dcf table",#N/A,FALSE,"Mgmt Forecast";"sensitivity",#N/A,FALSE,"Mgmt Forecast";"table inputs",#N/A,FALSE,"Mgmt Forecast";"calculations",#N/A,FALSE,"Mgmt Forecast"}</definedName>
    <definedName name="wrn.dcf._1" localSheetId="4" hidden="1">{"mgmt forecast",#N/A,FALSE,"Mgmt Forecast";"dcf table",#N/A,FALSE,"Mgmt Forecast";"sensitivity",#N/A,FALSE,"Mgmt Forecast";"table inputs",#N/A,FALSE,"Mgmt Forecast";"calculations",#N/A,FALSE,"Mgmt Forecast"}</definedName>
    <definedName name="wrn.dcf._1" localSheetId="3" hidden="1">{"mgmt forecast",#N/A,FALSE,"Mgmt Forecast";"dcf table",#N/A,FALSE,"Mgmt Forecast";"sensitivity",#N/A,FALSE,"Mgmt Forecast";"table inputs",#N/A,FALSE,"Mgmt Forecast";"calculations",#N/A,FALSE,"Mgmt Forecast"}</definedName>
    <definedName name="wrn.dcf._1" hidden="1">{"mgmt forecast",#N/A,FALSE,"Mgmt Forecast";"dcf table",#N/A,FALSE,"Mgmt Forecast";"sensitivity",#N/A,FALSE,"Mgmt Forecast";"table inputs",#N/A,FALSE,"Mgmt Forecast";"calculations",#N/A,FALSE,"Mgmt Forecast"}</definedName>
    <definedName name="wrn.Dept._.Overhead." localSheetId="6" hidden="1">{"Members99",#N/A,FALSE,"Sheet13";"CallCenter99",#N/A,FALSE,"Sheet13";"Operations99",#N/A,FALSE,"Sheet13";"Marketing99",#N/A,FALSE,"Sheet13";"CreditProdMgmt99",#N/A,FALSE,"Sheet13";"MWProdMgmt99",#N/A,FALSE,"Sheet13";"Technology99",#N/A,FALSE,"Sheet13";"Finance99",#N/A,FALSE,"Sheet13";"Executive99",#N/A,FALSE,"Sheet13";"Headcount99",#N/A,FALSE,"Sheet13"}</definedName>
    <definedName name="wrn.Dept._.Overhead." localSheetId="5" hidden="1">{"Members99",#N/A,FALSE,"Sheet13";"CallCenter99",#N/A,FALSE,"Sheet13";"Operations99",#N/A,FALSE,"Sheet13";"Marketing99",#N/A,FALSE,"Sheet13";"CreditProdMgmt99",#N/A,FALSE,"Sheet13";"MWProdMgmt99",#N/A,FALSE,"Sheet13";"Technology99",#N/A,FALSE,"Sheet13";"Finance99",#N/A,FALSE,"Sheet13";"Executive99",#N/A,FALSE,"Sheet13";"Headcount99",#N/A,FALSE,"Sheet13"}</definedName>
    <definedName name="wrn.Dept._.Overhead." localSheetId="4" hidden="1">{"Members99",#N/A,FALSE,"Sheet13";"CallCenter99",#N/A,FALSE,"Sheet13";"Operations99",#N/A,FALSE,"Sheet13";"Marketing99",#N/A,FALSE,"Sheet13";"CreditProdMgmt99",#N/A,FALSE,"Sheet13";"MWProdMgmt99",#N/A,FALSE,"Sheet13";"Technology99",#N/A,FALSE,"Sheet13";"Finance99",#N/A,FALSE,"Sheet13";"Executive99",#N/A,FALSE,"Sheet13";"Headcount99",#N/A,FALSE,"Sheet13"}</definedName>
    <definedName name="wrn.Dept._.Overhead." localSheetId="3" hidden="1">{"Members99",#N/A,FALSE,"Sheet13";"CallCenter99",#N/A,FALSE,"Sheet13";"Operations99",#N/A,FALSE,"Sheet13";"Marketing99",#N/A,FALSE,"Sheet13";"CreditProdMgmt99",#N/A,FALSE,"Sheet13";"MWProdMgmt99",#N/A,FALSE,"Sheet13";"Technology99",#N/A,FALSE,"Sheet13";"Finance99",#N/A,FALSE,"Sheet13";"Executive99",#N/A,FALSE,"Sheet13";"Headcount99",#N/A,FALSE,"Sheet13"}</definedName>
    <definedName name="wrn.Dept._.Overhead." hidden="1">{"Members99",#N/A,FALSE,"Sheet13";"CallCenter99",#N/A,FALSE,"Sheet13";"Operations99",#N/A,FALSE,"Sheet13";"Marketing99",#N/A,FALSE,"Sheet13";"CreditProdMgmt99",#N/A,FALSE,"Sheet13";"MWProdMgmt99",#N/A,FALSE,"Sheet13";"Technology99",#N/A,FALSE,"Sheet13";"Finance99",#N/A,FALSE,"Sheet13";"Executive99",#N/A,FALSE,"Sheet13";"Headcount99",#N/A,FALSE,"Sheet13"}</definedName>
    <definedName name="wrn.Dept._.Overhead._1" localSheetId="6" hidden="1">{"Members99",#N/A,FALSE,"Sheet13";"CallCenter99",#N/A,FALSE,"Sheet13";"Operations99",#N/A,FALSE,"Sheet13";"Marketing99",#N/A,FALSE,"Sheet13";"CreditProdMgmt99",#N/A,FALSE,"Sheet13";"MWProdMgmt99",#N/A,FALSE,"Sheet13";"Technology99",#N/A,FALSE,"Sheet13";"Finance99",#N/A,FALSE,"Sheet13";"Executive99",#N/A,FALSE,"Sheet13";"Headcount99",#N/A,FALSE,"Sheet13"}</definedName>
    <definedName name="wrn.Dept._.Overhead._1" localSheetId="5" hidden="1">{"Members99",#N/A,FALSE,"Sheet13";"CallCenter99",#N/A,FALSE,"Sheet13";"Operations99",#N/A,FALSE,"Sheet13";"Marketing99",#N/A,FALSE,"Sheet13";"CreditProdMgmt99",#N/A,FALSE,"Sheet13";"MWProdMgmt99",#N/A,FALSE,"Sheet13";"Technology99",#N/A,FALSE,"Sheet13";"Finance99",#N/A,FALSE,"Sheet13";"Executive99",#N/A,FALSE,"Sheet13";"Headcount99",#N/A,FALSE,"Sheet13"}</definedName>
    <definedName name="wrn.Dept._.Overhead._1" localSheetId="4" hidden="1">{"Members99",#N/A,FALSE,"Sheet13";"CallCenter99",#N/A,FALSE,"Sheet13";"Operations99",#N/A,FALSE,"Sheet13";"Marketing99",#N/A,FALSE,"Sheet13";"CreditProdMgmt99",#N/A,FALSE,"Sheet13";"MWProdMgmt99",#N/A,FALSE,"Sheet13";"Technology99",#N/A,FALSE,"Sheet13";"Finance99",#N/A,FALSE,"Sheet13";"Executive99",#N/A,FALSE,"Sheet13";"Headcount99",#N/A,FALSE,"Sheet13"}</definedName>
    <definedName name="wrn.Dept._.Overhead._1" localSheetId="3" hidden="1">{"Members99",#N/A,FALSE,"Sheet13";"CallCenter99",#N/A,FALSE,"Sheet13";"Operations99",#N/A,FALSE,"Sheet13";"Marketing99",#N/A,FALSE,"Sheet13";"CreditProdMgmt99",#N/A,FALSE,"Sheet13";"MWProdMgmt99",#N/A,FALSE,"Sheet13";"Technology99",#N/A,FALSE,"Sheet13";"Finance99",#N/A,FALSE,"Sheet13";"Executive99",#N/A,FALSE,"Sheet13";"Headcount99",#N/A,FALSE,"Sheet13"}</definedName>
    <definedName name="wrn.Dept._.Overhead._1" hidden="1">{"Members99",#N/A,FALSE,"Sheet13";"CallCenter99",#N/A,FALSE,"Sheet13";"Operations99",#N/A,FALSE,"Sheet13";"Marketing99",#N/A,FALSE,"Sheet13";"CreditProdMgmt99",#N/A,FALSE,"Sheet13";"MWProdMgmt99",#N/A,FALSE,"Sheet13";"Technology99",#N/A,FALSE,"Sheet13";"Finance99",#N/A,FALSE,"Sheet13";"Executive99",#N/A,FALSE,"Sheet13";"Headcount99",#N/A,FALSE,"Sheet13"}</definedName>
    <definedName name="wrn.documentation." localSheetId="6" hidden="1">{"documentation1",#N/A,FALSE,"Documentation";"documentation2",#N/A,FALSE,"Documentation"}</definedName>
    <definedName name="wrn.documentation." localSheetId="5" hidden="1">{"documentation1",#N/A,FALSE,"Documentation";"documentation2",#N/A,FALSE,"Documentation"}</definedName>
    <definedName name="wrn.documentation." localSheetId="4" hidden="1">{"documentation1",#N/A,FALSE,"Documentation";"documentation2",#N/A,FALSE,"Documentation"}</definedName>
    <definedName name="wrn.documentation." localSheetId="3" hidden="1">{"documentation1",#N/A,FALSE,"Documentation";"documentation2",#N/A,FALSE,"Documentation"}</definedName>
    <definedName name="wrn.documentation." hidden="1">{"documentation1",#N/A,FALSE,"Documentation";"documentation2",#N/A,FALSE,"Documentation"}</definedName>
    <definedName name="wrn.documentation._1" localSheetId="6" hidden="1">{"documentation1",#N/A,FALSE,"Documentation";"documentation2",#N/A,FALSE,"Documentation"}</definedName>
    <definedName name="wrn.documentation._1" localSheetId="5" hidden="1">{"documentation1",#N/A,FALSE,"Documentation";"documentation2",#N/A,FALSE,"Documentation"}</definedName>
    <definedName name="wrn.documentation._1" localSheetId="4" hidden="1">{"documentation1",#N/A,FALSE,"Documentation";"documentation2",#N/A,FALSE,"Documentation"}</definedName>
    <definedName name="wrn.documentation._1" localSheetId="3" hidden="1">{"documentation1",#N/A,FALSE,"Documentation";"documentation2",#N/A,FALSE,"Documentation"}</definedName>
    <definedName name="wrn.documentation._1" hidden="1">{"documentation1",#N/A,FALSE,"Documentation";"documentation2",#N/A,FALSE,"Documentation"}</definedName>
    <definedName name="wrn.Europe." localSheetId="6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" localSheetId="5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" localSheetId="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" localSheetId="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1" localSheetId="6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1" localSheetId="5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1" localSheetId="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1" localSheetId="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verything." localSheetId="6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" localSheetId="5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" localSheetId="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" localSheetId="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" localSheetId="6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" localSheetId="5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" localSheetId="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" localSheetId="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XHIBITS." localSheetId="6" hidden="1">{"summary1",#N/A,FALSE,"Summary of Values";"weighted average returns",#N/A,FALSE,"WACC and WARA";"revenue graph",#N/A,FALSE,"Revenue Graph";"historical acquirer",#N/A,FALSE,"Historical Performance";"historical target",#N/A,FALSE,"Historical Performance";"revenue detail 1",#N/A,FALSE,"Revenue Detail";"revenue detail 2",#N/A,FALSE,"Revenue Detail";"revenue detail 3",#N/A,FALSE,"Revenue Detail";"revenue detail 4",#N/A,FALSE,"Revenue Detail";"gross_margin1",#N/A,FALSE,"Gross Margin Detail";"gross_margin2",#N/A,FALSE,"Gross Margin Detail";"developed income statement",#N/A,FALSE,"Abbreviated Income Statement";"inprocess income statement",#N/A,FALSE,"Abbreviated Income Statement";"developed valuation",#N/A,FALSE,"Valuation Analysis";"inprocess valuation",#N/A,FALSE,"Valuation Analysis";"trademark1",#N/A,FALSE,"Trademark(s) and Trade Name(s)";"contributory1",#N/A,FALSE,"Contributory Assets Detail";"contributory2",#N/A,FALSE,"Contributory Assets Detail";"fixed asset detail",#N/A,FALSE,"Fixed Asset Detail"}</definedName>
    <definedName name="wrn.EXHIBITS." localSheetId="5" hidden="1">{"summary1",#N/A,FALSE,"Summary of Values";"weighted average returns",#N/A,FALSE,"WACC and WARA";"revenue graph",#N/A,FALSE,"Revenue Graph";"historical acquirer",#N/A,FALSE,"Historical Performance";"historical target",#N/A,FALSE,"Historical Performance";"revenue detail 1",#N/A,FALSE,"Revenue Detail";"revenue detail 2",#N/A,FALSE,"Revenue Detail";"revenue detail 3",#N/A,FALSE,"Revenue Detail";"revenue detail 4",#N/A,FALSE,"Revenue Detail";"gross_margin1",#N/A,FALSE,"Gross Margin Detail";"gross_margin2",#N/A,FALSE,"Gross Margin Detail";"developed income statement",#N/A,FALSE,"Abbreviated Income Statement";"inprocess income statement",#N/A,FALSE,"Abbreviated Income Statement";"developed valuation",#N/A,FALSE,"Valuation Analysis";"inprocess valuation",#N/A,FALSE,"Valuation Analysis";"trademark1",#N/A,FALSE,"Trademark(s) and Trade Name(s)";"contributory1",#N/A,FALSE,"Contributory Assets Detail";"contributory2",#N/A,FALSE,"Contributory Assets Detail";"fixed asset detail",#N/A,FALSE,"Fixed Asset Detail"}</definedName>
    <definedName name="wrn.EXHIBITS." localSheetId="4" hidden="1">{"summary1",#N/A,FALSE,"Summary of Values";"weighted average returns",#N/A,FALSE,"WACC and WARA";"revenue graph",#N/A,FALSE,"Revenue Graph";"historical acquirer",#N/A,FALSE,"Historical Performance";"historical target",#N/A,FALSE,"Historical Performance";"revenue detail 1",#N/A,FALSE,"Revenue Detail";"revenue detail 2",#N/A,FALSE,"Revenue Detail";"revenue detail 3",#N/A,FALSE,"Revenue Detail";"revenue detail 4",#N/A,FALSE,"Revenue Detail";"gross_margin1",#N/A,FALSE,"Gross Margin Detail";"gross_margin2",#N/A,FALSE,"Gross Margin Detail";"developed income statement",#N/A,FALSE,"Abbreviated Income Statement";"inprocess income statement",#N/A,FALSE,"Abbreviated Income Statement";"developed valuation",#N/A,FALSE,"Valuation Analysis";"inprocess valuation",#N/A,FALSE,"Valuation Analysis";"trademark1",#N/A,FALSE,"Trademark(s) and Trade Name(s)";"contributory1",#N/A,FALSE,"Contributory Assets Detail";"contributory2",#N/A,FALSE,"Contributory Assets Detail";"fixed asset detail",#N/A,FALSE,"Fixed Asset Detail"}</definedName>
    <definedName name="wrn.EXHIBITS." localSheetId="3" hidden="1">{"summary1",#N/A,FALSE,"Summary of Values";"weighted average returns",#N/A,FALSE,"WACC and WARA";"revenue graph",#N/A,FALSE,"Revenue Graph";"historical acquirer",#N/A,FALSE,"Historical Performance";"historical target",#N/A,FALSE,"Historical Performance";"revenue detail 1",#N/A,FALSE,"Revenue Detail";"revenue detail 2",#N/A,FALSE,"Revenue Detail";"revenue detail 3",#N/A,FALSE,"Revenue Detail";"revenue detail 4",#N/A,FALSE,"Revenue Detail";"gross_margin1",#N/A,FALSE,"Gross Margin Detail";"gross_margin2",#N/A,FALSE,"Gross Margin Detail";"developed income statement",#N/A,FALSE,"Abbreviated Income Statement";"inprocess income statement",#N/A,FALSE,"Abbreviated Income Statement";"developed valuation",#N/A,FALSE,"Valuation Analysis";"inprocess valuation",#N/A,FALSE,"Valuation Analysis";"trademark1",#N/A,FALSE,"Trademark(s) and Trade Name(s)";"contributory1",#N/A,FALSE,"Contributory Assets Detail";"contributory2",#N/A,FALSE,"Contributory Assets Detail";"fixed asset detail",#N/A,FALSE,"Fixed Asset Detail"}</definedName>
    <definedName name="wrn.EXHIBITS." hidden="1">{"summary1",#N/A,FALSE,"Summary of Values";"weighted average returns",#N/A,FALSE,"WACC and WARA";"revenue graph",#N/A,FALSE,"Revenue Graph";"historical acquirer",#N/A,FALSE,"Historical Performance";"historical target",#N/A,FALSE,"Historical Performance";"revenue detail 1",#N/A,FALSE,"Revenue Detail";"revenue detail 2",#N/A,FALSE,"Revenue Detail";"revenue detail 3",#N/A,FALSE,"Revenue Detail";"revenue detail 4",#N/A,FALSE,"Revenue Detail";"gross_margin1",#N/A,FALSE,"Gross Margin Detail";"gross_margin2",#N/A,FALSE,"Gross Margin Detail";"developed income statement",#N/A,FALSE,"Abbreviated Income Statement";"inprocess income statement",#N/A,FALSE,"Abbreviated Income Statement";"developed valuation",#N/A,FALSE,"Valuation Analysis";"inprocess valuation",#N/A,FALSE,"Valuation Analysis";"trademark1",#N/A,FALSE,"Trademark(s) and Trade Name(s)";"contributory1",#N/A,FALSE,"Contributory Assets Detail";"contributory2",#N/A,FALSE,"Contributory Assets Detail";"fixed asset detail",#N/A,FALSE,"Fixed Asset Detail"}</definedName>
    <definedName name="wrn.EXHIBITS._1" localSheetId="6" hidden="1">{"summary1",#N/A,FALSE,"Summary of Values";"weighted average returns",#N/A,FALSE,"WACC and WARA";"revenue graph",#N/A,FALSE,"Revenue Graph";"historical acquirer",#N/A,FALSE,"Historical Performance";"historical target",#N/A,FALSE,"Historical Performance";"revenue detail 1",#N/A,FALSE,"Revenue Detail";"revenue detail 2",#N/A,FALSE,"Revenue Detail";"revenue detail 3",#N/A,FALSE,"Revenue Detail";"revenue detail 4",#N/A,FALSE,"Revenue Detail";"gross_margin1",#N/A,FALSE,"Gross Margin Detail";"gross_margin2",#N/A,FALSE,"Gross Margin Detail";"developed income statement",#N/A,FALSE,"Abbreviated Income Statement";"inprocess income statement",#N/A,FALSE,"Abbreviated Income Statement";"developed valuation",#N/A,FALSE,"Valuation Analysis";"inprocess valuation",#N/A,FALSE,"Valuation Analysis";"trademark1",#N/A,FALSE,"Trademark(s) and Trade Name(s)";"contributory1",#N/A,FALSE,"Contributory Assets Detail";"contributory2",#N/A,FALSE,"Contributory Assets Detail";"fixed asset detail",#N/A,FALSE,"Fixed Asset Detail"}</definedName>
    <definedName name="wrn.EXHIBITS._1" localSheetId="5" hidden="1">{"summary1",#N/A,FALSE,"Summary of Values";"weighted average returns",#N/A,FALSE,"WACC and WARA";"revenue graph",#N/A,FALSE,"Revenue Graph";"historical acquirer",#N/A,FALSE,"Historical Performance";"historical target",#N/A,FALSE,"Historical Performance";"revenue detail 1",#N/A,FALSE,"Revenue Detail";"revenue detail 2",#N/A,FALSE,"Revenue Detail";"revenue detail 3",#N/A,FALSE,"Revenue Detail";"revenue detail 4",#N/A,FALSE,"Revenue Detail";"gross_margin1",#N/A,FALSE,"Gross Margin Detail";"gross_margin2",#N/A,FALSE,"Gross Margin Detail";"developed income statement",#N/A,FALSE,"Abbreviated Income Statement";"inprocess income statement",#N/A,FALSE,"Abbreviated Income Statement";"developed valuation",#N/A,FALSE,"Valuation Analysis";"inprocess valuation",#N/A,FALSE,"Valuation Analysis";"trademark1",#N/A,FALSE,"Trademark(s) and Trade Name(s)";"contributory1",#N/A,FALSE,"Contributory Assets Detail";"contributory2",#N/A,FALSE,"Contributory Assets Detail";"fixed asset detail",#N/A,FALSE,"Fixed Asset Detail"}</definedName>
    <definedName name="wrn.EXHIBITS._1" localSheetId="4" hidden="1">{"summary1",#N/A,FALSE,"Summary of Values";"weighted average returns",#N/A,FALSE,"WACC and WARA";"revenue graph",#N/A,FALSE,"Revenue Graph";"historical acquirer",#N/A,FALSE,"Historical Performance";"historical target",#N/A,FALSE,"Historical Performance";"revenue detail 1",#N/A,FALSE,"Revenue Detail";"revenue detail 2",#N/A,FALSE,"Revenue Detail";"revenue detail 3",#N/A,FALSE,"Revenue Detail";"revenue detail 4",#N/A,FALSE,"Revenue Detail";"gross_margin1",#N/A,FALSE,"Gross Margin Detail";"gross_margin2",#N/A,FALSE,"Gross Margin Detail";"developed income statement",#N/A,FALSE,"Abbreviated Income Statement";"inprocess income statement",#N/A,FALSE,"Abbreviated Income Statement";"developed valuation",#N/A,FALSE,"Valuation Analysis";"inprocess valuation",#N/A,FALSE,"Valuation Analysis";"trademark1",#N/A,FALSE,"Trademark(s) and Trade Name(s)";"contributory1",#N/A,FALSE,"Contributory Assets Detail";"contributory2",#N/A,FALSE,"Contributory Assets Detail";"fixed asset detail",#N/A,FALSE,"Fixed Asset Detail"}</definedName>
    <definedName name="wrn.EXHIBITS._1" localSheetId="3" hidden="1">{"summary1",#N/A,FALSE,"Summary of Values";"weighted average returns",#N/A,FALSE,"WACC and WARA";"revenue graph",#N/A,FALSE,"Revenue Graph";"historical acquirer",#N/A,FALSE,"Historical Performance";"historical target",#N/A,FALSE,"Historical Performance";"revenue detail 1",#N/A,FALSE,"Revenue Detail";"revenue detail 2",#N/A,FALSE,"Revenue Detail";"revenue detail 3",#N/A,FALSE,"Revenue Detail";"revenue detail 4",#N/A,FALSE,"Revenue Detail";"gross_margin1",#N/A,FALSE,"Gross Margin Detail";"gross_margin2",#N/A,FALSE,"Gross Margin Detail";"developed income statement",#N/A,FALSE,"Abbreviated Income Statement";"inprocess income statement",#N/A,FALSE,"Abbreviated Income Statement";"developed valuation",#N/A,FALSE,"Valuation Analysis";"inprocess valuation",#N/A,FALSE,"Valuation Analysis";"trademark1",#N/A,FALSE,"Trademark(s) and Trade Name(s)";"contributory1",#N/A,FALSE,"Contributory Assets Detail";"contributory2",#N/A,FALSE,"Contributory Assets Detail";"fixed asset detail",#N/A,FALSE,"Fixed Asset Detail"}</definedName>
    <definedName name="wrn.EXHIBITS._1" hidden="1">{"summary1",#N/A,FALSE,"Summary of Values";"weighted average returns",#N/A,FALSE,"WACC and WARA";"revenue graph",#N/A,FALSE,"Revenue Graph";"historical acquirer",#N/A,FALSE,"Historical Performance";"historical target",#N/A,FALSE,"Historical Performance";"revenue detail 1",#N/A,FALSE,"Revenue Detail";"revenue detail 2",#N/A,FALSE,"Revenue Detail";"revenue detail 3",#N/A,FALSE,"Revenue Detail";"revenue detail 4",#N/A,FALSE,"Revenue Detail";"gross_margin1",#N/A,FALSE,"Gross Margin Detail";"gross_margin2",#N/A,FALSE,"Gross Margin Detail";"developed income statement",#N/A,FALSE,"Abbreviated Income Statement";"inprocess income statement",#N/A,FALSE,"Abbreviated Income Statement";"developed valuation",#N/A,FALSE,"Valuation Analysis";"inprocess valuation",#N/A,FALSE,"Valuation Analysis";"trademark1",#N/A,FALSE,"Trademark(s) and Trade Name(s)";"contributory1",#N/A,FALSE,"Contributory Assets Detail";"contributory2",#N/A,FALSE,"Contributory Assets Detail";"fixed asset detail",#N/A,FALSE,"Fixed Asset Detail"}</definedName>
    <definedName name="wrn.Falcons._.Divisions." localSheetId="6" hidden="1">{#N/A,#N/A,TRUE,"Fiber_Optic_Cable_Input ";#N/A,#N/A,TRUE,"Specialty_Fiber_Devices_Input";#N/A,#N/A,TRUE,"Optical_Fiber_Apparatus_Input"}</definedName>
    <definedName name="wrn.Falcons._.Divisions." localSheetId="5" hidden="1">{#N/A,#N/A,TRUE,"Fiber_Optic_Cable_Input ";#N/A,#N/A,TRUE,"Specialty_Fiber_Devices_Input";#N/A,#N/A,TRUE,"Optical_Fiber_Apparatus_Input"}</definedName>
    <definedName name="wrn.Falcons._.Divisions." localSheetId="4" hidden="1">{#N/A,#N/A,TRUE,"Fiber_Optic_Cable_Input ";#N/A,#N/A,TRUE,"Specialty_Fiber_Devices_Input";#N/A,#N/A,TRUE,"Optical_Fiber_Apparatus_Input"}</definedName>
    <definedName name="wrn.Falcons._.Divisions." localSheetId="3" hidden="1">{#N/A,#N/A,TRUE,"Fiber_Optic_Cable_Input ";#N/A,#N/A,TRUE,"Specialty_Fiber_Devices_Input";#N/A,#N/A,TRUE,"Optical_Fiber_Apparatus_Input"}</definedName>
    <definedName name="wrn.Falcons._.Divisions." hidden="1">{#N/A,#N/A,TRUE,"Fiber_Optic_Cable_Input ";#N/A,#N/A,TRUE,"Specialty_Fiber_Devices_Input";#N/A,#N/A,TRUE,"Optical_Fiber_Apparatus_Input"}</definedName>
    <definedName name="wrn.Falcons._.Divisions._1" localSheetId="6" hidden="1">{#N/A,#N/A,TRUE,"Fiber_Optic_Cable_Input ";#N/A,#N/A,TRUE,"Specialty_Fiber_Devices_Input";#N/A,#N/A,TRUE,"Optical_Fiber_Apparatus_Input"}</definedName>
    <definedName name="wrn.Falcons._.Divisions._1" localSheetId="5" hidden="1">{#N/A,#N/A,TRUE,"Fiber_Optic_Cable_Input ";#N/A,#N/A,TRUE,"Specialty_Fiber_Devices_Input";#N/A,#N/A,TRUE,"Optical_Fiber_Apparatus_Input"}</definedName>
    <definedName name="wrn.Falcons._.Divisions._1" localSheetId="4" hidden="1">{#N/A,#N/A,TRUE,"Fiber_Optic_Cable_Input ";#N/A,#N/A,TRUE,"Specialty_Fiber_Devices_Input";#N/A,#N/A,TRUE,"Optical_Fiber_Apparatus_Input"}</definedName>
    <definedName name="wrn.Falcons._.Divisions._1" localSheetId="3" hidden="1">{#N/A,#N/A,TRUE,"Fiber_Optic_Cable_Input ";#N/A,#N/A,TRUE,"Specialty_Fiber_Devices_Input";#N/A,#N/A,TRUE,"Optical_Fiber_Apparatus_Input"}</definedName>
    <definedName name="wrn.Falcons._.Divisions._1" hidden="1">{#N/A,#N/A,TRUE,"Fiber_Optic_Cable_Input ";#N/A,#N/A,TRUE,"Specialty_Fiber_Devices_Input";#N/A,#N/A,TRUE,"Optical_Fiber_Apparatus_Input"}</definedName>
    <definedName name="wrn.Falcons._.Standalone." localSheetId="6" hidden="1">{#N/A,#N/A,TRUE,"Falcons_Standalone";#N/A,#N/A,TRUE,"Target_Input";#N/A,#N/A,TRUE,"Target_Calendarized"}</definedName>
    <definedName name="wrn.Falcons._.Standalone." localSheetId="5" hidden="1">{#N/A,#N/A,TRUE,"Falcons_Standalone";#N/A,#N/A,TRUE,"Target_Input";#N/A,#N/A,TRUE,"Target_Calendarized"}</definedName>
    <definedName name="wrn.Falcons._.Standalone." localSheetId="4" hidden="1">{#N/A,#N/A,TRUE,"Falcons_Standalone";#N/A,#N/A,TRUE,"Target_Input";#N/A,#N/A,TRUE,"Target_Calendarized"}</definedName>
    <definedName name="wrn.Falcons._.Standalone." localSheetId="3" hidden="1">{#N/A,#N/A,TRUE,"Falcons_Standalone";#N/A,#N/A,TRUE,"Target_Input";#N/A,#N/A,TRUE,"Target_Calendarized"}</definedName>
    <definedName name="wrn.Falcons._.Standalone." hidden="1">{#N/A,#N/A,TRUE,"Falcons_Standalone";#N/A,#N/A,TRUE,"Target_Input";#N/A,#N/A,TRUE,"Target_Calendarized"}</definedName>
    <definedName name="wrn.Falcons._.Standalone._1" localSheetId="6" hidden="1">{#N/A,#N/A,TRUE,"Falcons_Standalone";#N/A,#N/A,TRUE,"Target_Input";#N/A,#N/A,TRUE,"Target_Calendarized"}</definedName>
    <definedName name="wrn.Falcons._.Standalone._1" localSheetId="5" hidden="1">{#N/A,#N/A,TRUE,"Falcons_Standalone";#N/A,#N/A,TRUE,"Target_Input";#N/A,#N/A,TRUE,"Target_Calendarized"}</definedName>
    <definedName name="wrn.Falcons._.Standalone._1" localSheetId="4" hidden="1">{#N/A,#N/A,TRUE,"Falcons_Standalone";#N/A,#N/A,TRUE,"Target_Input";#N/A,#N/A,TRUE,"Target_Calendarized"}</definedName>
    <definedName name="wrn.Falcons._.Standalone._1" localSheetId="3" hidden="1">{#N/A,#N/A,TRUE,"Falcons_Standalone";#N/A,#N/A,TRUE,"Target_Input";#N/A,#N/A,TRUE,"Target_Calendarized"}</definedName>
    <definedName name="wrn.Falcons._.Standalone._1" hidden="1">{#N/A,#N/A,TRUE,"Falcons_Standalone";#N/A,#N/A,TRUE,"Target_Input";#N/A,#N/A,TRUE,"Target_Calendarized"}</definedName>
    <definedName name="wrn.Five._.Year._.Projection." localSheetId="6" hidden="1">{"Income5FY",#N/A,FALSE,"Sheet13";"IncomeFY2000",#N/A,FALSE,"Sheet13";"IncomeFY2001",#N/A,FALSE,"Sheet13";"IncomeFY2002",#N/A,FALSE,"Sheet13";"IncomeFY2003",#N/A,FALSE,"Sheet13";"IncomeFY2004",#N/A,FALSE,"Sheet13"}</definedName>
    <definedName name="wrn.Five._.Year._.Projection." localSheetId="5" hidden="1">{"Income5FY",#N/A,FALSE,"Sheet13";"IncomeFY2000",#N/A,FALSE,"Sheet13";"IncomeFY2001",#N/A,FALSE,"Sheet13";"IncomeFY2002",#N/A,FALSE,"Sheet13";"IncomeFY2003",#N/A,FALSE,"Sheet13";"IncomeFY2004",#N/A,FALSE,"Sheet13"}</definedName>
    <definedName name="wrn.Five._.Year._.Projection." localSheetId="4" hidden="1">{"Income5FY",#N/A,FALSE,"Sheet13";"IncomeFY2000",#N/A,FALSE,"Sheet13";"IncomeFY2001",#N/A,FALSE,"Sheet13";"IncomeFY2002",#N/A,FALSE,"Sheet13";"IncomeFY2003",#N/A,FALSE,"Sheet13";"IncomeFY2004",#N/A,FALSE,"Sheet13"}</definedName>
    <definedName name="wrn.Five._.Year._.Projection." localSheetId="3" hidden="1">{"Income5FY",#N/A,FALSE,"Sheet13";"IncomeFY2000",#N/A,FALSE,"Sheet13";"IncomeFY2001",#N/A,FALSE,"Sheet13";"IncomeFY2002",#N/A,FALSE,"Sheet13";"IncomeFY2003",#N/A,FALSE,"Sheet13";"IncomeFY2004",#N/A,FALSE,"Sheet13"}</definedName>
    <definedName name="wrn.Five._.Year._.Projection." hidden="1">{"Income5FY",#N/A,FALSE,"Sheet13";"IncomeFY2000",#N/A,FALSE,"Sheet13";"IncomeFY2001",#N/A,FALSE,"Sheet13";"IncomeFY2002",#N/A,FALSE,"Sheet13";"IncomeFY2003",#N/A,FALSE,"Sheet13";"IncomeFY2004",#N/A,FALSE,"Sheet13"}</definedName>
    <definedName name="wrn.Five._.Year._.Projection._1" localSheetId="6" hidden="1">{"Income5FY",#N/A,FALSE,"Sheet13";"IncomeFY2000",#N/A,FALSE,"Sheet13";"IncomeFY2001",#N/A,FALSE,"Sheet13";"IncomeFY2002",#N/A,FALSE,"Sheet13";"IncomeFY2003",#N/A,FALSE,"Sheet13";"IncomeFY2004",#N/A,FALSE,"Sheet13"}</definedName>
    <definedName name="wrn.Five._.Year._.Projection._1" localSheetId="5" hidden="1">{"Income5FY",#N/A,FALSE,"Sheet13";"IncomeFY2000",#N/A,FALSE,"Sheet13";"IncomeFY2001",#N/A,FALSE,"Sheet13";"IncomeFY2002",#N/A,FALSE,"Sheet13";"IncomeFY2003",#N/A,FALSE,"Sheet13";"IncomeFY2004",#N/A,FALSE,"Sheet13"}</definedName>
    <definedName name="wrn.Five._.Year._.Projection._1" localSheetId="4" hidden="1">{"Income5FY",#N/A,FALSE,"Sheet13";"IncomeFY2000",#N/A,FALSE,"Sheet13";"IncomeFY2001",#N/A,FALSE,"Sheet13";"IncomeFY2002",#N/A,FALSE,"Sheet13";"IncomeFY2003",#N/A,FALSE,"Sheet13";"IncomeFY2004",#N/A,FALSE,"Sheet13"}</definedName>
    <definedName name="wrn.Five._.Year._.Projection._1" localSheetId="3" hidden="1">{"Income5FY",#N/A,FALSE,"Sheet13";"IncomeFY2000",#N/A,FALSE,"Sheet13";"IncomeFY2001",#N/A,FALSE,"Sheet13";"IncomeFY2002",#N/A,FALSE,"Sheet13";"IncomeFY2003",#N/A,FALSE,"Sheet13";"IncomeFY2004",#N/A,FALSE,"Sheet13"}</definedName>
    <definedName name="wrn.Five._.Year._.Projection._1" hidden="1">{"Income5FY",#N/A,FALSE,"Sheet13";"IncomeFY2000",#N/A,FALSE,"Sheet13";"IncomeFY2001",#N/A,FALSE,"Sheet13";"IncomeFY2002",#N/A,FALSE,"Sheet13";"IncomeFY2003",#N/A,FALSE,"Sheet13";"IncomeFY2004",#N/A,FALSE,"Sheet13"}</definedName>
    <definedName name="wrn.FOC._.Detail." localSheetId="6" hidden="1">{#N/A,#N/A,TRUE,"FOC_Product_Assumptions"}</definedName>
    <definedName name="wrn.FOC._.Detail." localSheetId="5" hidden="1">{#N/A,#N/A,TRUE,"FOC_Product_Assumptions"}</definedName>
    <definedName name="wrn.FOC._.Detail." localSheetId="4" hidden="1">{#N/A,#N/A,TRUE,"FOC_Product_Assumptions"}</definedName>
    <definedName name="wrn.FOC._.Detail." localSheetId="3" hidden="1">{#N/A,#N/A,TRUE,"FOC_Product_Assumptions"}</definedName>
    <definedName name="wrn.FOC._.Detail." hidden="1">{#N/A,#N/A,TRUE,"FOC_Product_Assumptions"}</definedName>
    <definedName name="wrn.FOC._.Detail._1" localSheetId="6" hidden="1">{#N/A,#N/A,TRUE,"FOC_Product_Assumptions"}</definedName>
    <definedName name="wrn.FOC._.Detail._1" localSheetId="5" hidden="1">{#N/A,#N/A,TRUE,"FOC_Product_Assumptions"}</definedName>
    <definedName name="wrn.FOC._.Detail._1" localSheetId="4" hidden="1">{#N/A,#N/A,TRUE,"FOC_Product_Assumptions"}</definedName>
    <definedName name="wrn.FOC._.Detail._1" localSheetId="3" hidden="1">{#N/A,#N/A,TRUE,"FOC_Product_Assumptions"}</definedName>
    <definedName name="wrn.FOC._.Detail._1" hidden="1">{#N/A,#N/A,TRUE,"FOC_Product_Assumptions"}</definedName>
    <definedName name="wrn.Full._.Print." localSheetId="6" hidden="1">{#N/A,#N/A,FALSE,"Summary";#N/A,#N/A,FALSE,"Returns";#N/A,#N/A,FALSE,"Fees";#N/A,#N/A,FALSE,"Opening BS";#N/A,#N/A,FALSE,"EMO";#N/A,#N/A,FALSE,"BS";#N/A,#N/A,FALSE,"IS";#N/A,#N/A,FALSE,"CFS";#N/A,#N/A,FALSE,"Int. Rates";#N/A,#N/A,FALSE,"Int. Cost";#N/A,#N/A,FALSE,"Debt";#N/A,#N/A,FALSE,"Ratios";#N/A,#N/A,FALSE,"Returns Detail";#N/A,#N/A,FALSE,"DCF"}</definedName>
    <definedName name="wrn.Full._.Print." localSheetId="5" hidden="1">{#N/A,#N/A,FALSE,"Summary";#N/A,#N/A,FALSE,"Returns";#N/A,#N/A,FALSE,"Fees";#N/A,#N/A,FALSE,"Opening BS";#N/A,#N/A,FALSE,"EMO";#N/A,#N/A,FALSE,"BS";#N/A,#N/A,FALSE,"IS";#N/A,#N/A,FALSE,"CFS";#N/A,#N/A,FALSE,"Int. Rates";#N/A,#N/A,FALSE,"Int. Cost";#N/A,#N/A,FALSE,"Debt";#N/A,#N/A,FALSE,"Ratios";#N/A,#N/A,FALSE,"Returns Detail";#N/A,#N/A,FALSE,"DCF"}</definedName>
    <definedName name="wrn.Full._.Print." localSheetId="4" hidden="1">{#N/A,#N/A,FALSE,"Summary";#N/A,#N/A,FALSE,"Returns";#N/A,#N/A,FALSE,"Fees";#N/A,#N/A,FALSE,"Opening BS";#N/A,#N/A,FALSE,"EMO";#N/A,#N/A,FALSE,"BS";#N/A,#N/A,FALSE,"IS";#N/A,#N/A,FALSE,"CFS";#N/A,#N/A,FALSE,"Int. Rates";#N/A,#N/A,FALSE,"Int. Cost";#N/A,#N/A,FALSE,"Debt";#N/A,#N/A,FALSE,"Ratios";#N/A,#N/A,FALSE,"Returns Detail";#N/A,#N/A,FALSE,"DCF"}</definedName>
    <definedName name="wrn.Full._.Print." localSheetId="3" hidden="1">{#N/A,#N/A,FALSE,"Summary";#N/A,#N/A,FALSE,"Returns";#N/A,#N/A,FALSE,"Fees";#N/A,#N/A,FALSE,"Opening BS";#N/A,#N/A,FALSE,"EMO";#N/A,#N/A,FALSE,"BS";#N/A,#N/A,FALSE,"IS";#N/A,#N/A,FALSE,"CFS";#N/A,#N/A,FALSE,"Int. Rates";#N/A,#N/A,FALSE,"Int. Cost";#N/A,#N/A,FALSE,"Debt";#N/A,#N/A,FALSE,"Ratios";#N/A,#N/A,FALSE,"Returns Detail";#N/A,#N/A,FALSE,"DCF"}</definedName>
    <definedName name="wrn.Full._.Print." hidden="1">{#N/A,#N/A,FALSE,"Summary";#N/A,#N/A,FALSE,"Returns";#N/A,#N/A,FALSE,"Fees";#N/A,#N/A,FALSE,"Opening BS";#N/A,#N/A,FALSE,"EMO";#N/A,#N/A,FALSE,"BS";#N/A,#N/A,FALSE,"IS";#N/A,#N/A,FALSE,"CFS";#N/A,#N/A,FALSE,"Int. Rates";#N/A,#N/A,FALSE,"Int. Cost";#N/A,#N/A,FALSE,"Debt";#N/A,#N/A,FALSE,"Ratios";#N/A,#N/A,FALSE,"Returns Detail";#N/A,#N/A,FALSE,"DCF"}</definedName>
    <definedName name="wrn.Full._.Print._1" localSheetId="6" hidden="1">{#N/A,#N/A,FALSE,"Summary";#N/A,#N/A,FALSE,"Returns";#N/A,#N/A,FALSE,"Fees";#N/A,#N/A,FALSE,"Opening BS";#N/A,#N/A,FALSE,"EMO";#N/A,#N/A,FALSE,"BS";#N/A,#N/A,FALSE,"IS";#N/A,#N/A,FALSE,"CFS";#N/A,#N/A,FALSE,"Int. Rates";#N/A,#N/A,FALSE,"Int. Cost";#N/A,#N/A,FALSE,"Debt";#N/A,#N/A,FALSE,"Ratios";#N/A,#N/A,FALSE,"Returns Detail";#N/A,#N/A,FALSE,"DCF"}</definedName>
    <definedName name="wrn.Full._.Print._1" localSheetId="5" hidden="1">{#N/A,#N/A,FALSE,"Summary";#N/A,#N/A,FALSE,"Returns";#N/A,#N/A,FALSE,"Fees";#N/A,#N/A,FALSE,"Opening BS";#N/A,#N/A,FALSE,"EMO";#N/A,#N/A,FALSE,"BS";#N/A,#N/A,FALSE,"IS";#N/A,#N/A,FALSE,"CFS";#N/A,#N/A,FALSE,"Int. Rates";#N/A,#N/A,FALSE,"Int. Cost";#N/A,#N/A,FALSE,"Debt";#N/A,#N/A,FALSE,"Ratios";#N/A,#N/A,FALSE,"Returns Detail";#N/A,#N/A,FALSE,"DCF"}</definedName>
    <definedName name="wrn.Full._.Print._1" localSheetId="4" hidden="1">{#N/A,#N/A,FALSE,"Summary";#N/A,#N/A,FALSE,"Returns";#N/A,#N/A,FALSE,"Fees";#N/A,#N/A,FALSE,"Opening BS";#N/A,#N/A,FALSE,"EMO";#N/A,#N/A,FALSE,"BS";#N/A,#N/A,FALSE,"IS";#N/A,#N/A,FALSE,"CFS";#N/A,#N/A,FALSE,"Int. Rates";#N/A,#N/A,FALSE,"Int. Cost";#N/A,#N/A,FALSE,"Debt";#N/A,#N/A,FALSE,"Ratios";#N/A,#N/A,FALSE,"Returns Detail";#N/A,#N/A,FALSE,"DCF"}</definedName>
    <definedName name="wrn.Full._.Print._1" localSheetId="3" hidden="1">{#N/A,#N/A,FALSE,"Summary";#N/A,#N/A,FALSE,"Returns";#N/A,#N/A,FALSE,"Fees";#N/A,#N/A,FALSE,"Opening BS";#N/A,#N/A,FALSE,"EMO";#N/A,#N/A,FALSE,"BS";#N/A,#N/A,FALSE,"IS";#N/A,#N/A,FALSE,"CFS";#N/A,#N/A,FALSE,"Int. Rates";#N/A,#N/A,FALSE,"Int. Cost";#N/A,#N/A,FALSE,"Debt";#N/A,#N/A,FALSE,"Ratios";#N/A,#N/A,FALSE,"Returns Detail";#N/A,#N/A,FALSE,"DCF"}</definedName>
    <definedName name="wrn.Full._.Print._1" hidden="1">{#N/A,#N/A,FALSE,"Summary";#N/A,#N/A,FALSE,"Returns";#N/A,#N/A,FALSE,"Fees";#N/A,#N/A,FALSE,"Opening BS";#N/A,#N/A,FALSE,"EMO";#N/A,#N/A,FALSE,"BS";#N/A,#N/A,FALSE,"IS";#N/A,#N/A,FALSE,"CFS";#N/A,#N/A,FALSE,"Int. Rates";#N/A,#N/A,FALSE,"Int. Cost";#N/A,#N/A,FALSE,"Debt";#N/A,#N/A,FALSE,"Ratios";#N/A,#N/A,FALSE,"Returns Detail";#N/A,#N/A,FALSE,"DCF"}</definedName>
    <definedName name="wrn.full._.print1" localSheetId="6" hidden="1">{#N/A,#N/A,FALSE,"Summary";#N/A,#N/A,FALSE,"Returns";#N/A,#N/A,FALSE,"Fees";#N/A,#N/A,FALSE,"Opening BS";#N/A,#N/A,FALSE,"EMO";#N/A,#N/A,FALSE,"BS";#N/A,#N/A,FALSE,"IS";#N/A,#N/A,FALSE,"CFS";#N/A,#N/A,FALSE,"Int. Rates";#N/A,#N/A,FALSE,"Int. Cost";#N/A,#N/A,FALSE,"Debt";#N/A,#N/A,FALSE,"Ratios";#N/A,#N/A,FALSE,"Returns Detail";#N/A,#N/A,FALSE,"DCF"}</definedName>
    <definedName name="wrn.full._.print1" localSheetId="5" hidden="1">{#N/A,#N/A,FALSE,"Summary";#N/A,#N/A,FALSE,"Returns";#N/A,#N/A,FALSE,"Fees";#N/A,#N/A,FALSE,"Opening BS";#N/A,#N/A,FALSE,"EMO";#N/A,#N/A,FALSE,"BS";#N/A,#N/A,FALSE,"IS";#N/A,#N/A,FALSE,"CFS";#N/A,#N/A,FALSE,"Int. Rates";#N/A,#N/A,FALSE,"Int. Cost";#N/A,#N/A,FALSE,"Debt";#N/A,#N/A,FALSE,"Ratios";#N/A,#N/A,FALSE,"Returns Detail";#N/A,#N/A,FALSE,"DCF"}</definedName>
    <definedName name="wrn.full._.print1" localSheetId="4" hidden="1">{#N/A,#N/A,FALSE,"Summary";#N/A,#N/A,FALSE,"Returns";#N/A,#N/A,FALSE,"Fees";#N/A,#N/A,FALSE,"Opening BS";#N/A,#N/A,FALSE,"EMO";#N/A,#N/A,FALSE,"BS";#N/A,#N/A,FALSE,"IS";#N/A,#N/A,FALSE,"CFS";#N/A,#N/A,FALSE,"Int. Rates";#N/A,#N/A,FALSE,"Int. Cost";#N/A,#N/A,FALSE,"Debt";#N/A,#N/A,FALSE,"Ratios";#N/A,#N/A,FALSE,"Returns Detail";#N/A,#N/A,FALSE,"DCF"}</definedName>
    <definedName name="wrn.full._.print1" localSheetId="3" hidden="1">{#N/A,#N/A,FALSE,"Summary";#N/A,#N/A,FALSE,"Returns";#N/A,#N/A,FALSE,"Fees";#N/A,#N/A,FALSE,"Opening BS";#N/A,#N/A,FALSE,"EMO";#N/A,#N/A,FALSE,"BS";#N/A,#N/A,FALSE,"IS";#N/A,#N/A,FALSE,"CFS";#N/A,#N/A,FALSE,"Int. Rates";#N/A,#N/A,FALSE,"Int. Cost";#N/A,#N/A,FALSE,"Debt";#N/A,#N/A,FALSE,"Ratios";#N/A,#N/A,FALSE,"Returns Detail";#N/A,#N/A,FALSE,"DCF"}</definedName>
    <definedName name="wrn.full._.print1" hidden="1">{#N/A,#N/A,FALSE,"Summary";#N/A,#N/A,FALSE,"Returns";#N/A,#N/A,FALSE,"Fees";#N/A,#N/A,FALSE,"Opening BS";#N/A,#N/A,FALSE,"EMO";#N/A,#N/A,FALSE,"BS";#N/A,#N/A,FALSE,"IS";#N/A,#N/A,FALSE,"CFS";#N/A,#N/A,FALSE,"Int. Rates";#N/A,#N/A,FALSE,"Int. Cost";#N/A,#N/A,FALSE,"Debt";#N/A,#N/A,FALSE,"Ratios";#N/A,#N/A,FALSE,"Returns Detail";#N/A,#N/A,FALSE,"DCF"}</definedName>
    <definedName name="wrn.full._.print1_1" localSheetId="6" hidden="1">{#N/A,#N/A,FALSE,"Summary";#N/A,#N/A,FALSE,"Returns";#N/A,#N/A,FALSE,"Fees";#N/A,#N/A,FALSE,"Opening BS";#N/A,#N/A,FALSE,"EMO";#N/A,#N/A,FALSE,"BS";#N/A,#N/A,FALSE,"IS";#N/A,#N/A,FALSE,"CFS";#N/A,#N/A,FALSE,"Int. Rates";#N/A,#N/A,FALSE,"Int. Cost";#N/A,#N/A,FALSE,"Debt";#N/A,#N/A,FALSE,"Ratios";#N/A,#N/A,FALSE,"Returns Detail";#N/A,#N/A,FALSE,"DCF"}</definedName>
    <definedName name="wrn.full._.print1_1" localSheetId="5" hidden="1">{#N/A,#N/A,FALSE,"Summary";#N/A,#N/A,FALSE,"Returns";#N/A,#N/A,FALSE,"Fees";#N/A,#N/A,FALSE,"Opening BS";#N/A,#N/A,FALSE,"EMO";#N/A,#N/A,FALSE,"BS";#N/A,#N/A,FALSE,"IS";#N/A,#N/A,FALSE,"CFS";#N/A,#N/A,FALSE,"Int. Rates";#N/A,#N/A,FALSE,"Int. Cost";#N/A,#N/A,FALSE,"Debt";#N/A,#N/A,FALSE,"Ratios";#N/A,#N/A,FALSE,"Returns Detail";#N/A,#N/A,FALSE,"DCF"}</definedName>
    <definedName name="wrn.full._.print1_1" localSheetId="4" hidden="1">{#N/A,#N/A,FALSE,"Summary";#N/A,#N/A,FALSE,"Returns";#N/A,#N/A,FALSE,"Fees";#N/A,#N/A,FALSE,"Opening BS";#N/A,#N/A,FALSE,"EMO";#N/A,#N/A,FALSE,"BS";#N/A,#N/A,FALSE,"IS";#N/A,#N/A,FALSE,"CFS";#N/A,#N/A,FALSE,"Int. Rates";#N/A,#N/A,FALSE,"Int. Cost";#N/A,#N/A,FALSE,"Debt";#N/A,#N/A,FALSE,"Ratios";#N/A,#N/A,FALSE,"Returns Detail";#N/A,#N/A,FALSE,"DCF"}</definedName>
    <definedName name="wrn.full._.print1_1" localSheetId="3" hidden="1">{#N/A,#N/A,FALSE,"Summary";#N/A,#N/A,FALSE,"Returns";#N/A,#N/A,FALSE,"Fees";#N/A,#N/A,FALSE,"Opening BS";#N/A,#N/A,FALSE,"EMO";#N/A,#N/A,FALSE,"BS";#N/A,#N/A,FALSE,"IS";#N/A,#N/A,FALSE,"CFS";#N/A,#N/A,FALSE,"Int. Rates";#N/A,#N/A,FALSE,"Int. Cost";#N/A,#N/A,FALSE,"Debt";#N/A,#N/A,FALSE,"Ratios";#N/A,#N/A,FALSE,"Returns Detail";#N/A,#N/A,FALSE,"DCF"}</definedName>
    <definedName name="wrn.full._.print1_1" hidden="1">{#N/A,#N/A,FALSE,"Summary";#N/A,#N/A,FALSE,"Returns";#N/A,#N/A,FALSE,"Fees";#N/A,#N/A,FALSE,"Opening BS";#N/A,#N/A,FALSE,"EMO";#N/A,#N/A,FALSE,"BS";#N/A,#N/A,FALSE,"IS";#N/A,#N/A,FALSE,"CFS";#N/A,#N/A,FALSE,"Int. Rates";#N/A,#N/A,FALSE,"Int. Cost";#N/A,#N/A,FALSE,"Debt";#N/A,#N/A,FALSE,"Ratios";#N/A,#N/A,FALSE,"Returns Detail";#N/A,#N/A,FALSE,"DCF"}</definedName>
    <definedName name="wrn.FY2000." localSheetId="6" hidden="1">{"membersFY2000",#N/A,TRUE,"Sheet13";"IncomeFY2000",#N/A,TRUE,"Sheet13";"GAAP2000",#N/A,TRUE,"Sheet13";"CashFY2000",#N/A,TRUE,"Sheet13";"BSFY2000",#N/A,TRUE,"Sheet13"}</definedName>
    <definedName name="wrn.FY2000." localSheetId="5" hidden="1">{"membersFY2000",#N/A,TRUE,"Sheet13";"IncomeFY2000",#N/A,TRUE,"Sheet13";"GAAP2000",#N/A,TRUE,"Sheet13";"CashFY2000",#N/A,TRUE,"Sheet13";"BSFY2000",#N/A,TRUE,"Sheet13"}</definedName>
    <definedName name="wrn.FY2000." localSheetId="4" hidden="1">{"membersFY2000",#N/A,TRUE,"Sheet13";"IncomeFY2000",#N/A,TRUE,"Sheet13";"GAAP2000",#N/A,TRUE,"Sheet13";"CashFY2000",#N/A,TRUE,"Sheet13";"BSFY2000",#N/A,TRUE,"Sheet13"}</definedName>
    <definedName name="wrn.FY2000." localSheetId="3" hidden="1">{"membersFY2000",#N/A,TRUE,"Sheet13";"IncomeFY2000",#N/A,TRUE,"Sheet13";"GAAP2000",#N/A,TRUE,"Sheet13";"CashFY2000",#N/A,TRUE,"Sheet13";"BSFY2000",#N/A,TRUE,"Sheet13"}</definedName>
    <definedName name="wrn.FY2000." hidden="1">{"membersFY2000",#N/A,TRUE,"Sheet13";"IncomeFY2000",#N/A,TRUE,"Sheet13";"GAAP2000",#N/A,TRUE,"Sheet13";"CashFY2000",#N/A,TRUE,"Sheet13";"BSFY2000",#N/A,TRUE,"Sheet13"}</definedName>
    <definedName name="wrn.FY2000._1" localSheetId="6" hidden="1">{"membersFY2000",#N/A,TRUE,"Sheet13";"IncomeFY2000",#N/A,TRUE,"Sheet13";"GAAP2000",#N/A,TRUE,"Sheet13";"CashFY2000",#N/A,TRUE,"Sheet13";"BSFY2000",#N/A,TRUE,"Sheet13"}</definedName>
    <definedName name="wrn.FY2000._1" localSheetId="5" hidden="1">{"membersFY2000",#N/A,TRUE,"Sheet13";"IncomeFY2000",#N/A,TRUE,"Sheet13";"GAAP2000",#N/A,TRUE,"Sheet13";"CashFY2000",#N/A,TRUE,"Sheet13";"BSFY2000",#N/A,TRUE,"Sheet13"}</definedName>
    <definedName name="wrn.FY2000._1" localSheetId="4" hidden="1">{"membersFY2000",#N/A,TRUE,"Sheet13";"IncomeFY2000",#N/A,TRUE,"Sheet13";"GAAP2000",#N/A,TRUE,"Sheet13";"CashFY2000",#N/A,TRUE,"Sheet13";"BSFY2000",#N/A,TRUE,"Sheet13"}</definedName>
    <definedName name="wrn.FY2000._1" localSheetId="3" hidden="1">{"membersFY2000",#N/A,TRUE,"Sheet13";"IncomeFY2000",#N/A,TRUE,"Sheet13";"GAAP2000",#N/A,TRUE,"Sheet13";"CashFY2000",#N/A,TRUE,"Sheet13";"BSFY2000",#N/A,TRUE,"Sheet13"}</definedName>
    <definedName name="wrn.FY2000._1" hidden="1">{"membersFY2000",#N/A,TRUE,"Sheet13";"IncomeFY2000",#N/A,TRUE,"Sheet13";"GAAP2000",#N/A,TRUE,"Sheet13";"CashFY2000",#N/A,TRUE,"Sheet13";"BSFY2000",#N/A,TRUE,"Sheet13"}</definedName>
    <definedName name="wrn.gross._.margin._.detail." localSheetId="6" hidden="1">{"gross_margin1",#N/A,FALSE,"Gross Margin Detail";"gross_margin2",#N/A,FALSE,"Gross Margin Detail"}</definedName>
    <definedName name="wrn.gross._.margin._.detail." localSheetId="5" hidden="1">{"gross_margin1",#N/A,FALSE,"Gross Margin Detail";"gross_margin2",#N/A,FALSE,"Gross Margin Detail"}</definedName>
    <definedName name="wrn.gross._.margin._.detail." localSheetId="4" hidden="1">{"gross_margin1",#N/A,FALSE,"Gross Margin Detail";"gross_margin2",#N/A,FALSE,"Gross Margin Detail"}</definedName>
    <definedName name="wrn.gross._.margin._.detail." localSheetId="3" hidden="1">{"gross_margin1",#N/A,FALSE,"Gross Margin Detail";"gross_margin2",#N/A,FALSE,"Gross Margin Detail"}</definedName>
    <definedName name="wrn.gross._.margin._.detail." hidden="1">{"gross_margin1",#N/A,FALSE,"Gross Margin Detail";"gross_margin2",#N/A,FALSE,"Gross Margin Detail"}</definedName>
    <definedName name="wrn.gross._.margin._.detail._1" localSheetId="6" hidden="1">{"gross_margin1",#N/A,FALSE,"Gross Margin Detail";"gross_margin2",#N/A,FALSE,"Gross Margin Detail"}</definedName>
    <definedName name="wrn.gross._.margin._.detail._1" localSheetId="5" hidden="1">{"gross_margin1",#N/A,FALSE,"Gross Margin Detail";"gross_margin2",#N/A,FALSE,"Gross Margin Detail"}</definedName>
    <definedName name="wrn.gross._.margin._.detail._1" localSheetId="4" hidden="1">{"gross_margin1",#N/A,FALSE,"Gross Margin Detail";"gross_margin2",#N/A,FALSE,"Gross Margin Detail"}</definedName>
    <definedName name="wrn.gross._.margin._.detail._1" localSheetId="3" hidden="1">{"gross_margin1",#N/A,FALSE,"Gross Margin Detail";"gross_margin2",#N/A,FALSE,"Gross Margin Detail"}</definedName>
    <definedName name="wrn.gross._.margin._.detail._1" hidden="1">{"gross_margin1",#N/A,FALSE,"Gross Margin Detail";"gross_margin2",#N/A,FALSE,"Gross Margin Detail"}</definedName>
    <definedName name="wrn.historical._.performance." localSheetId="6" hidden="1">{"historical acquirer",#N/A,FALSE,"Historical Performance";"historical target",#N/A,FALSE,"Historical Performance"}</definedName>
    <definedName name="wrn.historical._.performance." localSheetId="5" hidden="1">{"historical acquirer",#N/A,FALSE,"Historical Performance";"historical target",#N/A,FALSE,"Historical Performance"}</definedName>
    <definedName name="wrn.historical._.performance." localSheetId="4" hidden="1">{"historical acquirer",#N/A,FALSE,"Historical Performance";"historical target",#N/A,FALSE,"Historical Performance"}</definedName>
    <definedName name="wrn.historical._.performance." localSheetId="3" hidden="1">{"historical acquirer",#N/A,FALSE,"Historical Performance";"historical target",#N/A,FALSE,"Historical Performance"}</definedName>
    <definedName name="wrn.historical._.performance." hidden="1">{"historical acquirer",#N/A,FALSE,"Historical Performance";"historical target",#N/A,FALSE,"Historical Performance"}</definedName>
    <definedName name="wrn.historical._.performance._1" localSheetId="6" hidden="1">{"historical acquirer",#N/A,FALSE,"Historical Performance";"historical target",#N/A,FALSE,"Historical Performance"}</definedName>
    <definedName name="wrn.historical._.performance._1" localSheetId="5" hidden="1">{"historical acquirer",#N/A,FALSE,"Historical Performance";"historical target",#N/A,FALSE,"Historical Performance"}</definedName>
    <definedName name="wrn.historical._.performance._1" localSheetId="4" hidden="1">{"historical acquirer",#N/A,FALSE,"Historical Performance";"historical target",#N/A,FALSE,"Historical Performance"}</definedName>
    <definedName name="wrn.historical._.performance._1" localSheetId="3" hidden="1">{"historical acquirer",#N/A,FALSE,"Historical Performance";"historical target",#N/A,FALSE,"Historical Performance"}</definedName>
    <definedName name="wrn.historical._.performance._1" hidden="1">{"historical acquirer",#N/A,FALSE,"Historical Performance";"historical target",#N/A,FALSE,"Historical Performance"}</definedName>
    <definedName name="wrn.Insight._.09._.30._.2001." localSheetId="6" hidden="1">{#N/A,#N/A,FALSE,"contents";#N/A,#N/A,FALSE,"bal. sheet";#N/A,#N/A,FALSE,"income";#N/A,#N/A,FALSE,"cashflow";#N/A,#N/A,FALSE,"equity";#N/A,#N/A,FALSE,"notes";#N/A,#N/A,FALSE,"supplemental"}</definedName>
    <definedName name="wrn.Insight._.09._.30._.2001." localSheetId="5" hidden="1">{#N/A,#N/A,FALSE,"contents";#N/A,#N/A,FALSE,"bal. sheet";#N/A,#N/A,FALSE,"income";#N/A,#N/A,FALSE,"cashflow";#N/A,#N/A,FALSE,"equity";#N/A,#N/A,FALSE,"notes";#N/A,#N/A,FALSE,"supplemental"}</definedName>
    <definedName name="wrn.Insight._.09._.30._.2001." localSheetId="4" hidden="1">{#N/A,#N/A,FALSE,"contents";#N/A,#N/A,FALSE,"bal. sheet";#N/A,#N/A,FALSE,"income";#N/A,#N/A,FALSE,"cashflow";#N/A,#N/A,FALSE,"equity";#N/A,#N/A,FALSE,"notes";#N/A,#N/A,FALSE,"supplemental"}</definedName>
    <definedName name="wrn.Insight._.09._.30._.2001." localSheetId="3" hidden="1">{#N/A,#N/A,FALSE,"contents";#N/A,#N/A,FALSE,"bal. sheet";#N/A,#N/A,FALSE,"income";#N/A,#N/A,FALSE,"cashflow";#N/A,#N/A,FALSE,"equity";#N/A,#N/A,FALSE,"notes";#N/A,#N/A,FALSE,"supplemental"}</definedName>
    <definedName name="wrn.Insight._.09._.30._.2001." hidden="1">{#N/A,#N/A,FALSE,"contents";#N/A,#N/A,FALSE,"bal. sheet";#N/A,#N/A,FALSE,"income";#N/A,#N/A,FALSE,"cashflow";#N/A,#N/A,FALSE,"equity";#N/A,#N/A,FALSE,"notes";#N/A,#N/A,FALSE,"supplemental"}</definedName>
    <definedName name="wrn.Insight._.09._.30._.2001._1" localSheetId="6" hidden="1">{#N/A,#N/A,FALSE,"contents";#N/A,#N/A,FALSE,"bal. sheet";#N/A,#N/A,FALSE,"income";#N/A,#N/A,FALSE,"cashflow";#N/A,#N/A,FALSE,"equity";#N/A,#N/A,FALSE,"notes";#N/A,#N/A,FALSE,"supplemental"}</definedName>
    <definedName name="wrn.Insight._.09._.30._.2001._1" localSheetId="5" hidden="1">{#N/A,#N/A,FALSE,"contents";#N/A,#N/A,FALSE,"bal. sheet";#N/A,#N/A,FALSE,"income";#N/A,#N/A,FALSE,"cashflow";#N/A,#N/A,FALSE,"equity";#N/A,#N/A,FALSE,"notes";#N/A,#N/A,FALSE,"supplemental"}</definedName>
    <definedName name="wrn.Insight._.09._.30._.2001._1" localSheetId="4" hidden="1">{#N/A,#N/A,FALSE,"contents";#N/A,#N/A,FALSE,"bal. sheet";#N/A,#N/A,FALSE,"income";#N/A,#N/A,FALSE,"cashflow";#N/A,#N/A,FALSE,"equity";#N/A,#N/A,FALSE,"notes";#N/A,#N/A,FALSE,"supplemental"}</definedName>
    <definedName name="wrn.Insight._.09._.30._.2001._1" localSheetId="3" hidden="1">{#N/A,#N/A,FALSE,"contents";#N/A,#N/A,FALSE,"bal. sheet";#N/A,#N/A,FALSE,"income";#N/A,#N/A,FALSE,"cashflow";#N/A,#N/A,FALSE,"equity";#N/A,#N/A,FALSE,"notes";#N/A,#N/A,FALSE,"supplemental"}</definedName>
    <definedName name="wrn.Insight._.09._.30._.2001._1" hidden="1">{#N/A,#N/A,FALSE,"contents";#N/A,#N/A,FALSE,"bal. sheet";#N/A,#N/A,FALSE,"income";#N/A,#N/A,FALSE,"cashflow";#N/A,#N/A,FALSE,"equity";#N/A,#N/A,FALSE,"notes";#N/A,#N/A,FALSE,"supplemental"}</definedName>
    <definedName name="wrn.Jeff._.Standalone." localSheetId="6" hidden="1">{#N/A,#N/A,TRUE,"Acquirer_Cases_Input";#N/A,#N/A,TRUE,"Acquirer_Input";#N/A,#N/A,TRUE,"Acquirer"}</definedName>
    <definedName name="wrn.Jeff._.Standalone." localSheetId="5" hidden="1">{#N/A,#N/A,TRUE,"Acquirer_Cases_Input";#N/A,#N/A,TRUE,"Acquirer_Input";#N/A,#N/A,TRUE,"Acquirer"}</definedName>
    <definedName name="wrn.Jeff._.Standalone." localSheetId="4" hidden="1">{#N/A,#N/A,TRUE,"Acquirer_Cases_Input";#N/A,#N/A,TRUE,"Acquirer_Input";#N/A,#N/A,TRUE,"Acquirer"}</definedName>
    <definedName name="wrn.Jeff._.Standalone." localSheetId="3" hidden="1">{#N/A,#N/A,TRUE,"Acquirer_Cases_Input";#N/A,#N/A,TRUE,"Acquirer_Input";#N/A,#N/A,TRUE,"Acquirer"}</definedName>
    <definedName name="wrn.Jeff._.Standalone." hidden="1">{#N/A,#N/A,TRUE,"Acquirer_Cases_Input";#N/A,#N/A,TRUE,"Acquirer_Input";#N/A,#N/A,TRUE,"Acquirer"}</definedName>
    <definedName name="wrn.Jeff._.Standalone._1" localSheetId="6" hidden="1">{#N/A,#N/A,TRUE,"Acquirer_Cases_Input";#N/A,#N/A,TRUE,"Acquirer_Input";#N/A,#N/A,TRUE,"Acquirer"}</definedName>
    <definedName name="wrn.Jeff._.Standalone._1" localSheetId="5" hidden="1">{#N/A,#N/A,TRUE,"Acquirer_Cases_Input";#N/A,#N/A,TRUE,"Acquirer_Input";#N/A,#N/A,TRUE,"Acquirer"}</definedName>
    <definedName name="wrn.Jeff._.Standalone._1" localSheetId="4" hidden="1">{#N/A,#N/A,TRUE,"Acquirer_Cases_Input";#N/A,#N/A,TRUE,"Acquirer_Input";#N/A,#N/A,TRUE,"Acquirer"}</definedName>
    <definedName name="wrn.Jeff._.Standalone._1" localSheetId="3" hidden="1">{#N/A,#N/A,TRUE,"Acquirer_Cases_Input";#N/A,#N/A,TRUE,"Acquirer_Input";#N/A,#N/A,TRUE,"Acquirer"}</definedName>
    <definedName name="wrn.Jeff._.Standalone._1" hidden="1">{#N/A,#N/A,TRUE,"Acquirer_Cases_Input";#N/A,#N/A,TRUE,"Acquirer_Input";#N/A,#N/A,TRUE,"Acquirer"}</definedName>
    <definedName name="wrn.l15." localSheetId="6" hidden="1">{"a",#N/A,FALSE,"גיליון1";"b",#N/A,FALSE,"גיליון1"}</definedName>
    <definedName name="wrn.l15." localSheetId="5" hidden="1">{"a",#N/A,FALSE,"גיליון1";"b",#N/A,FALSE,"גיליון1"}</definedName>
    <definedName name="wrn.l15." localSheetId="4" hidden="1">{"a",#N/A,FALSE,"גיליון1";"b",#N/A,FALSE,"גיליון1"}</definedName>
    <definedName name="wrn.l15." localSheetId="3" hidden="1">{"a",#N/A,FALSE,"גיליון1";"b",#N/A,FALSE,"גיליון1"}</definedName>
    <definedName name="wrn.l15." hidden="1">{"a",#N/A,FALSE,"גיליון1";"b",#N/A,FALSE,"גיליון1"}</definedName>
    <definedName name="wrn.l15._1" localSheetId="6" hidden="1">{"a",#N/A,FALSE,"גיליון1";"b",#N/A,FALSE,"גיליון1"}</definedName>
    <definedName name="wrn.l15._1" localSheetId="5" hidden="1">{"a",#N/A,FALSE,"גיליון1";"b",#N/A,FALSE,"גיליון1"}</definedName>
    <definedName name="wrn.l15._1" localSheetId="4" hidden="1">{"a",#N/A,FALSE,"גיליון1";"b",#N/A,FALSE,"גיליון1"}</definedName>
    <definedName name="wrn.l15._1" localSheetId="3" hidden="1">{"a",#N/A,FALSE,"גיליון1";"b",#N/A,FALSE,"גיליון1"}</definedName>
    <definedName name="wrn.l15._1" hidden="1">{"a",#N/A,FALSE,"גיליון1";"b",#N/A,FALSE,"גיליון1"}</definedName>
    <definedName name="wrn.MONTHLY._.INVENTORY._.SCHEDULE." localSheetId="6" hidden="1">{#N/A,#N/A,FALSE,"Sheet1";#N/A,#N/A,FALSE,"Sheet2";#N/A,#N/A,FALSE,"Sheet3";#N/A,#N/A,FALSE,"Sheet4";#N/A,#N/A,FALSE,"Sheet5";#N/A,#N/A,FALSE,"Sheet6"}</definedName>
    <definedName name="wrn.MONTHLY._.INVENTORY._.SCHEDULE." localSheetId="5" hidden="1">{#N/A,#N/A,FALSE,"Sheet1";#N/A,#N/A,FALSE,"Sheet2";#N/A,#N/A,FALSE,"Sheet3";#N/A,#N/A,FALSE,"Sheet4";#N/A,#N/A,FALSE,"Sheet5";#N/A,#N/A,FALSE,"Sheet6"}</definedName>
    <definedName name="wrn.MONTHLY._.INVENTORY._.SCHEDULE." localSheetId="4" hidden="1">{#N/A,#N/A,FALSE,"Sheet1";#N/A,#N/A,FALSE,"Sheet2";#N/A,#N/A,FALSE,"Sheet3";#N/A,#N/A,FALSE,"Sheet4";#N/A,#N/A,FALSE,"Sheet5";#N/A,#N/A,FALSE,"Sheet6"}</definedName>
    <definedName name="wrn.MONTHLY._.INVENTORY._.SCHEDULE." localSheetId="3" hidden="1">{#N/A,#N/A,FALSE,"Sheet1";#N/A,#N/A,FALSE,"Sheet2";#N/A,#N/A,FALSE,"Sheet3";#N/A,#N/A,FALSE,"Sheet4";#N/A,#N/A,FALSE,"Sheet5";#N/A,#N/A,FALSE,"Sheet6"}</definedName>
    <definedName name="wrn.MONTHLY._.INVENTORY._.SCHEDULE." hidden="1">{#N/A,#N/A,FALSE,"Sheet1";#N/A,#N/A,FALSE,"Sheet2";#N/A,#N/A,FALSE,"Sheet3";#N/A,#N/A,FALSE,"Sheet4";#N/A,#N/A,FALSE,"Sheet5";#N/A,#N/A,FALSE,"Sheet6"}</definedName>
    <definedName name="wrn.MONTHLY._.INVENTORY._.SCHEDULE._1" localSheetId="6" hidden="1">{#N/A,#N/A,FALSE,"Sheet1";#N/A,#N/A,FALSE,"Sheet2";#N/A,#N/A,FALSE,"Sheet3";#N/A,#N/A,FALSE,"Sheet4";#N/A,#N/A,FALSE,"Sheet5";#N/A,#N/A,FALSE,"Sheet6"}</definedName>
    <definedName name="wrn.MONTHLY._.INVENTORY._.SCHEDULE._1" localSheetId="5" hidden="1">{#N/A,#N/A,FALSE,"Sheet1";#N/A,#N/A,FALSE,"Sheet2";#N/A,#N/A,FALSE,"Sheet3";#N/A,#N/A,FALSE,"Sheet4";#N/A,#N/A,FALSE,"Sheet5";#N/A,#N/A,FALSE,"Sheet6"}</definedName>
    <definedName name="wrn.MONTHLY._.INVENTORY._.SCHEDULE._1" localSheetId="4" hidden="1">{#N/A,#N/A,FALSE,"Sheet1";#N/A,#N/A,FALSE,"Sheet2";#N/A,#N/A,FALSE,"Sheet3";#N/A,#N/A,FALSE,"Sheet4";#N/A,#N/A,FALSE,"Sheet5";#N/A,#N/A,FALSE,"Sheet6"}</definedName>
    <definedName name="wrn.MONTHLY._.INVENTORY._.SCHEDULE._1" localSheetId="3" hidden="1">{#N/A,#N/A,FALSE,"Sheet1";#N/A,#N/A,FALSE,"Sheet2";#N/A,#N/A,FALSE,"Sheet3";#N/A,#N/A,FALSE,"Sheet4";#N/A,#N/A,FALSE,"Sheet5";#N/A,#N/A,FALSE,"Sheet6"}</definedName>
    <definedName name="wrn.MONTHLY._.INVENTORY._.SCHEDULE._1" hidden="1">{#N/A,#N/A,FALSE,"Sheet1";#N/A,#N/A,FALSE,"Sheet2";#N/A,#N/A,FALSE,"Sheet3";#N/A,#N/A,FALSE,"Sheet4";#N/A,#N/A,FALSE,"Sheet5";#N/A,#N/A,FALSE,"Sheet6"}</definedName>
    <definedName name="wrn.Monthly._.Projections." localSheetId="6" hidden="1">{"members99",#N/A,TRUE,"Sheet13";"Income99",#N/A,TRUE,"Sheet13";"Cash99",#N/A,TRUE,"Sheet13";"BS99",#N/A,TRUE,"Sheet13"}</definedName>
    <definedName name="wrn.Monthly._.Projections." localSheetId="5" hidden="1">{"members99",#N/A,TRUE,"Sheet13";"Income99",#N/A,TRUE,"Sheet13";"Cash99",#N/A,TRUE,"Sheet13";"BS99",#N/A,TRUE,"Sheet13"}</definedName>
    <definedName name="wrn.Monthly._.Projections." localSheetId="4" hidden="1">{"members99",#N/A,TRUE,"Sheet13";"Income99",#N/A,TRUE,"Sheet13";"Cash99",#N/A,TRUE,"Sheet13";"BS99",#N/A,TRUE,"Sheet13"}</definedName>
    <definedName name="wrn.Monthly._.Projections." localSheetId="3" hidden="1">{"members99",#N/A,TRUE,"Sheet13";"Income99",#N/A,TRUE,"Sheet13";"Cash99",#N/A,TRUE,"Sheet13";"BS99",#N/A,TRUE,"Sheet13"}</definedName>
    <definedName name="wrn.Monthly._.Projections." hidden="1">{"members99",#N/A,TRUE,"Sheet13";"Income99",#N/A,TRUE,"Sheet13";"Cash99",#N/A,TRUE,"Sheet13";"BS99",#N/A,TRUE,"Sheet13"}</definedName>
    <definedName name="wrn.Monthly._.Projections._1" localSheetId="6" hidden="1">{"members99",#N/A,TRUE,"Sheet13";"Income99",#N/A,TRUE,"Sheet13";"Cash99",#N/A,TRUE,"Sheet13";"BS99",#N/A,TRUE,"Sheet13"}</definedName>
    <definedName name="wrn.Monthly._.Projections._1" localSheetId="5" hidden="1">{"members99",#N/A,TRUE,"Sheet13";"Income99",#N/A,TRUE,"Sheet13";"Cash99",#N/A,TRUE,"Sheet13";"BS99",#N/A,TRUE,"Sheet13"}</definedName>
    <definedName name="wrn.Monthly._.Projections._1" localSheetId="4" hidden="1">{"members99",#N/A,TRUE,"Sheet13";"Income99",#N/A,TRUE,"Sheet13";"Cash99",#N/A,TRUE,"Sheet13";"BS99",#N/A,TRUE,"Sheet13"}</definedName>
    <definedName name="wrn.Monthly._.Projections._1" localSheetId="3" hidden="1">{"members99",#N/A,TRUE,"Sheet13";"Income99",#N/A,TRUE,"Sheet13";"Cash99",#N/A,TRUE,"Sheet13";"BS99",#N/A,TRUE,"Sheet13"}</definedName>
    <definedName name="wrn.Monthly._.Projections._1" hidden="1">{"members99",#N/A,TRUE,"Sheet13";"Income99",#N/A,TRUE,"Sheet13";"Cash99",#N/A,TRUE,"Sheet13";"BS99",#N/A,TRUE,"Sheet13"}</definedName>
    <definedName name="wrn.Outlook." localSheetId="6" hidden="1">{#N/A,#N/A,FALSE,"Consol P&amp;L ";#N/A,#N/A,FALSE,"CP P&amp;L";#N/A,#N/A,FALSE,"ADS P&amp;L";#N/A,#N/A,FALSE,"Corp P&amp;L"}</definedName>
    <definedName name="wrn.Outlook." localSheetId="5" hidden="1">{#N/A,#N/A,FALSE,"Consol P&amp;L ";#N/A,#N/A,FALSE,"CP P&amp;L";#N/A,#N/A,FALSE,"ADS P&amp;L";#N/A,#N/A,FALSE,"Corp P&amp;L"}</definedName>
    <definedName name="wrn.Outlook." localSheetId="4" hidden="1">{#N/A,#N/A,FALSE,"Consol P&amp;L ";#N/A,#N/A,FALSE,"CP P&amp;L";#N/A,#N/A,FALSE,"ADS P&amp;L";#N/A,#N/A,FALSE,"Corp P&amp;L"}</definedName>
    <definedName name="wrn.Outlook." localSheetId="3" hidden="1">{#N/A,#N/A,FALSE,"Consol P&amp;L ";#N/A,#N/A,FALSE,"CP P&amp;L";#N/A,#N/A,FALSE,"ADS P&amp;L";#N/A,#N/A,FALSE,"Corp P&amp;L"}</definedName>
    <definedName name="wrn.Outlook." hidden="1">{#N/A,#N/A,FALSE,"Consol P&amp;L ";#N/A,#N/A,FALSE,"CP P&amp;L";#N/A,#N/A,FALSE,"ADS P&amp;L";#N/A,#N/A,FALSE,"Corp P&amp;L"}</definedName>
    <definedName name="wrn.Outlook._1" localSheetId="6" hidden="1">{#N/A,#N/A,FALSE,"Consol P&amp;L ";#N/A,#N/A,FALSE,"CP P&amp;L";#N/A,#N/A,FALSE,"ADS P&amp;L";#N/A,#N/A,FALSE,"Corp P&amp;L"}</definedName>
    <definedName name="wrn.Outlook._1" localSheetId="5" hidden="1">{#N/A,#N/A,FALSE,"Consol P&amp;L ";#N/A,#N/A,FALSE,"CP P&amp;L";#N/A,#N/A,FALSE,"ADS P&amp;L";#N/A,#N/A,FALSE,"Corp P&amp;L"}</definedName>
    <definedName name="wrn.Outlook._1" localSheetId="4" hidden="1">{#N/A,#N/A,FALSE,"Consol P&amp;L ";#N/A,#N/A,FALSE,"CP P&amp;L";#N/A,#N/A,FALSE,"ADS P&amp;L";#N/A,#N/A,FALSE,"Corp P&amp;L"}</definedName>
    <definedName name="wrn.Outlook._1" localSheetId="3" hidden="1">{#N/A,#N/A,FALSE,"Consol P&amp;L ";#N/A,#N/A,FALSE,"CP P&amp;L";#N/A,#N/A,FALSE,"ADS P&amp;L";#N/A,#N/A,FALSE,"Corp P&amp;L"}</definedName>
    <definedName name="wrn.Outlook._1" hidden="1">{#N/A,#N/A,FALSE,"Consol P&amp;L ";#N/A,#N/A,FALSE,"CP P&amp;L";#N/A,#N/A,FALSE,"ADS P&amp;L";#N/A,#N/A,FALSE,"Corp P&amp;L"}</definedName>
    <definedName name="wrn.Output." localSheetId="6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" localSheetId="5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" localSheetId="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" localSheetId="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1" localSheetId="6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1" localSheetId="5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1" localSheetId="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1" localSheetId="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verhead2000." localSheetId="6" hidden="1">{"Headcount2000",#N/A,FALSE,"Sheet13";"Marketing2000",#N/A,FALSE,"Sheet13";"Executive2000",#N/A,FALSE,"Sheet13";"Operations2000",#N/A,FALSE,"Sheet13";"Finance2000",#N/A,FALSE,"Sheet13";"MWProdMgmt2000",#N/A,FALSE,"Sheet13";"CreditProdMgmt2000",#N/A,FALSE,"Sheet13";"Technology2000",#N/A,FALSE,"Sheet13"}</definedName>
    <definedName name="wrn.Overhead2000." localSheetId="5" hidden="1">{"Headcount2000",#N/A,FALSE,"Sheet13";"Marketing2000",#N/A,FALSE,"Sheet13";"Executive2000",#N/A,FALSE,"Sheet13";"Operations2000",#N/A,FALSE,"Sheet13";"Finance2000",#N/A,FALSE,"Sheet13";"MWProdMgmt2000",#N/A,FALSE,"Sheet13";"CreditProdMgmt2000",#N/A,FALSE,"Sheet13";"Technology2000",#N/A,FALSE,"Sheet13"}</definedName>
    <definedName name="wrn.Overhead2000." localSheetId="4" hidden="1">{"Headcount2000",#N/A,FALSE,"Sheet13";"Marketing2000",#N/A,FALSE,"Sheet13";"Executive2000",#N/A,FALSE,"Sheet13";"Operations2000",#N/A,FALSE,"Sheet13";"Finance2000",#N/A,FALSE,"Sheet13";"MWProdMgmt2000",#N/A,FALSE,"Sheet13";"CreditProdMgmt2000",#N/A,FALSE,"Sheet13";"Technology2000",#N/A,FALSE,"Sheet13"}</definedName>
    <definedName name="wrn.Overhead2000." localSheetId="3" hidden="1">{"Headcount2000",#N/A,FALSE,"Sheet13";"Marketing2000",#N/A,FALSE,"Sheet13";"Executive2000",#N/A,FALSE,"Sheet13";"Operations2000",#N/A,FALSE,"Sheet13";"Finance2000",#N/A,FALSE,"Sheet13";"MWProdMgmt2000",#N/A,FALSE,"Sheet13";"CreditProdMgmt2000",#N/A,FALSE,"Sheet13";"Technology2000",#N/A,FALSE,"Sheet13"}</definedName>
    <definedName name="wrn.Overhead2000." hidden="1">{"Headcount2000",#N/A,FALSE,"Sheet13";"Marketing2000",#N/A,FALSE,"Sheet13";"Executive2000",#N/A,FALSE,"Sheet13";"Operations2000",#N/A,FALSE,"Sheet13";"Finance2000",#N/A,FALSE,"Sheet13";"MWProdMgmt2000",#N/A,FALSE,"Sheet13";"CreditProdMgmt2000",#N/A,FALSE,"Sheet13";"Technology2000",#N/A,FALSE,"Sheet13"}</definedName>
    <definedName name="wrn.Overhead2000._1" localSheetId="6" hidden="1">{"Headcount2000",#N/A,FALSE,"Sheet13";"Marketing2000",#N/A,FALSE,"Sheet13";"Executive2000",#N/A,FALSE,"Sheet13";"Operations2000",#N/A,FALSE,"Sheet13";"Finance2000",#N/A,FALSE,"Sheet13";"MWProdMgmt2000",#N/A,FALSE,"Sheet13";"CreditProdMgmt2000",#N/A,FALSE,"Sheet13";"Technology2000",#N/A,FALSE,"Sheet13"}</definedName>
    <definedName name="wrn.Overhead2000._1" localSheetId="5" hidden="1">{"Headcount2000",#N/A,FALSE,"Sheet13";"Marketing2000",#N/A,FALSE,"Sheet13";"Executive2000",#N/A,FALSE,"Sheet13";"Operations2000",#N/A,FALSE,"Sheet13";"Finance2000",#N/A,FALSE,"Sheet13";"MWProdMgmt2000",#N/A,FALSE,"Sheet13";"CreditProdMgmt2000",#N/A,FALSE,"Sheet13";"Technology2000",#N/A,FALSE,"Sheet13"}</definedName>
    <definedName name="wrn.Overhead2000._1" localSheetId="4" hidden="1">{"Headcount2000",#N/A,FALSE,"Sheet13";"Marketing2000",#N/A,FALSE,"Sheet13";"Executive2000",#N/A,FALSE,"Sheet13";"Operations2000",#N/A,FALSE,"Sheet13";"Finance2000",#N/A,FALSE,"Sheet13";"MWProdMgmt2000",#N/A,FALSE,"Sheet13";"CreditProdMgmt2000",#N/A,FALSE,"Sheet13";"Technology2000",#N/A,FALSE,"Sheet13"}</definedName>
    <definedName name="wrn.Overhead2000._1" localSheetId="3" hidden="1">{"Headcount2000",#N/A,FALSE,"Sheet13";"Marketing2000",#N/A,FALSE,"Sheet13";"Executive2000",#N/A,FALSE,"Sheet13";"Operations2000",#N/A,FALSE,"Sheet13";"Finance2000",#N/A,FALSE,"Sheet13";"MWProdMgmt2000",#N/A,FALSE,"Sheet13";"CreditProdMgmt2000",#N/A,FALSE,"Sheet13";"Technology2000",#N/A,FALSE,"Sheet13"}</definedName>
    <definedName name="wrn.Overhead2000._1" hidden="1">{"Headcount2000",#N/A,FALSE,"Sheet13";"Marketing2000",#N/A,FALSE,"Sheet13";"Executive2000",#N/A,FALSE,"Sheet13";"Operations2000",#N/A,FALSE,"Sheet13";"Finance2000",#N/A,FALSE,"Sheet13";"MWProdMgmt2000",#N/A,FALSE,"Sheet13";"CreditProdMgmt2000",#N/A,FALSE,"Sheet13";"Technology2000",#N/A,FALSE,"Sheet13"}</definedName>
    <definedName name="wrn.Personnel._.Forecast._.Nov01." localSheetId="6" hidden="1">{"Personnel 1",#N/A,TRUE,"Nov01";"Personnel 2",#N/A,TRUE,"Nov01";"Personnel 3",#N/A,TRUE,"Nov01";"Personnel 4",#N/A,TRUE,"Nov01"}</definedName>
    <definedName name="wrn.Personnel._.Forecast._.Nov01." localSheetId="5" hidden="1">{"Personnel 1",#N/A,TRUE,"Nov01";"Personnel 2",#N/A,TRUE,"Nov01";"Personnel 3",#N/A,TRUE,"Nov01";"Personnel 4",#N/A,TRUE,"Nov01"}</definedName>
    <definedName name="wrn.Personnel._.Forecast._.Nov01." localSheetId="4" hidden="1">{"Personnel 1",#N/A,TRUE,"Nov01";"Personnel 2",#N/A,TRUE,"Nov01";"Personnel 3",#N/A,TRUE,"Nov01";"Personnel 4",#N/A,TRUE,"Nov01"}</definedName>
    <definedName name="wrn.Personnel._.Forecast._.Nov01." localSheetId="3" hidden="1">{"Personnel 1",#N/A,TRUE,"Nov01";"Personnel 2",#N/A,TRUE,"Nov01";"Personnel 3",#N/A,TRUE,"Nov01";"Personnel 4",#N/A,TRUE,"Nov01"}</definedName>
    <definedName name="wrn.Personnel._.Forecast._.Nov01." hidden="1">{"Personnel 1",#N/A,TRUE,"Nov01";"Personnel 2",#N/A,TRUE,"Nov01";"Personnel 3",#N/A,TRUE,"Nov01";"Personnel 4",#N/A,TRUE,"Nov01"}</definedName>
    <definedName name="wrn.Personnel._.Forecast._.Nov01._1" localSheetId="6" hidden="1">{"Personnel 1",#N/A,TRUE,"Nov01";"Personnel 2",#N/A,TRUE,"Nov01";"Personnel 3",#N/A,TRUE,"Nov01";"Personnel 4",#N/A,TRUE,"Nov01"}</definedName>
    <definedName name="wrn.Personnel._.Forecast._.Nov01._1" localSheetId="5" hidden="1">{"Personnel 1",#N/A,TRUE,"Nov01";"Personnel 2",#N/A,TRUE,"Nov01";"Personnel 3",#N/A,TRUE,"Nov01";"Personnel 4",#N/A,TRUE,"Nov01"}</definedName>
    <definedName name="wrn.Personnel._.Forecast._.Nov01._1" localSheetId="4" hidden="1">{"Personnel 1",#N/A,TRUE,"Nov01";"Personnel 2",#N/A,TRUE,"Nov01";"Personnel 3",#N/A,TRUE,"Nov01";"Personnel 4",#N/A,TRUE,"Nov01"}</definedName>
    <definedName name="wrn.Personnel._.Forecast._.Nov01._1" localSheetId="3" hidden="1">{"Personnel 1",#N/A,TRUE,"Nov01";"Personnel 2",#N/A,TRUE,"Nov01";"Personnel 3",#N/A,TRUE,"Nov01";"Personnel 4",#N/A,TRUE,"Nov01"}</definedName>
    <definedName name="wrn.Personnel._.Forecast._.Nov01._1" hidden="1">{"Personnel 1",#N/A,TRUE,"Nov01";"Personnel 2",#N/A,TRUE,"Nov01";"Personnel 3",#N/A,TRUE,"Nov01";"Personnel 4",#N/A,TRUE,"Nov01"}</definedName>
    <definedName name="wrn.PRINT." localSheetId="6" hidden="1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wrn.PRINT." localSheetId="5" hidden="1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wrn.PRINT." localSheetId="4" hidden="1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wrn.PRINT." localSheetId="3" hidden="1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wrn.PRINT." hidden="1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wrn.print._.graphs." localSheetId="6" hidden="1">{"cap_structure",#N/A,FALSE,"Graph-Mkt Cap";"price",#N/A,FALSE,"Graph-Price";"ebit",#N/A,FALSE,"Graph-EBITDA";"ebitda",#N/A,FALSE,"Graph-EBITDA"}</definedName>
    <definedName name="wrn.print._.graphs." localSheetId="5" hidden="1">{"cap_structure",#N/A,FALSE,"Graph-Mkt Cap";"price",#N/A,FALSE,"Graph-Price";"ebit",#N/A,FALSE,"Graph-EBITDA";"ebitda",#N/A,FALSE,"Graph-EBITDA"}</definedName>
    <definedName name="wrn.print._.graphs." localSheetId="4" hidden="1">{"cap_structure",#N/A,FALSE,"Graph-Mkt Cap";"price",#N/A,FALSE,"Graph-Price";"ebit",#N/A,FALSE,"Graph-EBITDA";"ebitda",#N/A,FALSE,"Graph-EBITDA"}</definedName>
    <definedName name="wrn.print._.graphs." localSheetId="3" hidden="1">{"cap_structure",#N/A,FALSE,"Graph-Mkt Cap";"price",#N/A,FALSE,"Graph-Price";"ebit",#N/A,FALSE,"Graph-EBITDA";"ebitda",#N/A,FALSE,"Graph-EBITDA"}</definedName>
    <definedName name="wrn.print._.graphs." hidden="1">{"cap_structure",#N/A,FALSE,"Graph-Mkt Cap";"price",#N/A,FALSE,"Graph-Price";"ebit",#N/A,FALSE,"Graph-EBITDA";"ebitda",#N/A,FALSE,"Graph-EBITDA"}</definedName>
    <definedName name="wrn.print._.graphs._1" localSheetId="6" hidden="1">{"cap_structure",#N/A,FALSE,"Graph-Mkt Cap";"price",#N/A,FALSE,"Graph-Price";"ebit",#N/A,FALSE,"Graph-EBITDA";"ebitda",#N/A,FALSE,"Graph-EBITDA"}</definedName>
    <definedName name="wrn.print._.graphs._1" localSheetId="5" hidden="1">{"cap_structure",#N/A,FALSE,"Graph-Mkt Cap";"price",#N/A,FALSE,"Graph-Price";"ebit",#N/A,FALSE,"Graph-EBITDA";"ebitda",#N/A,FALSE,"Graph-EBITDA"}</definedName>
    <definedName name="wrn.print._.graphs._1" localSheetId="4" hidden="1">{"cap_structure",#N/A,FALSE,"Graph-Mkt Cap";"price",#N/A,FALSE,"Graph-Price";"ebit",#N/A,FALSE,"Graph-EBITDA";"ebitda",#N/A,FALSE,"Graph-EBITDA"}</definedName>
    <definedName name="wrn.print._.graphs._1" localSheetId="3" hidden="1">{"cap_structure",#N/A,FALSE,"Graph-Mkt Cap";"price",#N/A,FALSE,"Graph-Price";"ebit",#N/A,FALSE,"Graph-EBITDA";"ebitda",#N/A,FALSE,"Graph-EBITDA"}</definedName>
    <definedName name="wrn.print._.graphs._1" hidden="1">{"cap_structure",#N/A,FALSE,"Graph-Mkt Cap";"price",#N/A,FALSE,"Graph-Price";"ebit",#N/A,FALSE,"Graph-EBITDA";"ebitda",#N/A,FALSE,"Graph-EBITDA"}</definedName>
    <definedName name="wrn.print._.raw._.data._.entry." localSheetId="6" hidden="1">{"inputs raw data",#N/A,TRUE,"INPUT"}</definedName>
    <definedName name="wrn.print._.raw._.data._.entry." localSheetId="5" hidden="1">{"inputs raw data",#N/A,TRUE,"INPUT"}</definedName>
    <definedName name="wrn.print._.raw._.data._.entry." localSheetId="4" hidden="1">{"inputs raw data",#N/A,TRUE,"INPUT"}</definedName>
    <definedName name="wrn.print._.raw._.data._.entry." localSheetId="3" hidden="1">{"inputs raw data",#N/A,TRUE,"INPUT"}</definedName>
    <definedName name="wrn.print._.raw._.data._.entry." hidden="1">{"inputs raw data",#N/A,TRUE,"INPUT"}</definedName>
    <definedName name="wrn.print._.raw._.data._.entry._1" localSheetId="6" hidden="1">{"inputs raw data",#N/A,TRUE,"INPUT"}</definedName>
    <definedName name="wrn.print._.raw._.data._.entry._1" localSheetId="5" hidden="1">{"inputs raw data",#N/A,TRUE,"INPUT"}</definedName>
    <definedName name="wrn.print._.raw._.data._.entry._1" localSheetId="4" hidden="1">{"inputs raw data",#N/A,TRUE,"INPUT"}</definedName>
    <definedName name="wrn.print._.raw._.data._.entry._1" localSheetId="3" hidden="1">{"inputs raw data",#N/A,TRUE,"INPUT"}</definedName>
    <definedName name="wrn.print._.raw._.data._.entry._1" hidden="1">{"inputs raw data",#N/A,TRUE,"INPUT"}</definedName>
    <definedName name="wrn.print._.standalone." localSheetId="6" hidden="1">{"standalone1",#N/A,FALSE,"DCFBase";"standalone2",#N/A,FALSE,"DCFBase"}</definedName>
    <definedName name="wrn.print._.standalone." localSheetId="5" hidden="1">{"standalone1",#N/A,FALSE,"DCFBase";"standalone2",#N/A,FALSE,"DCFBase"}</definedName>
    <definedName name="wrn.print._.standalone." localSheetId="4" hidden="1">{"standalone1",#N/A,FALSE,"DCFBase";"standalone2",#N/A,FALSE,"DCFBase"}</definedName>
    <definedName name="wrn.print._.standalone." localSheetId="3" hidden="1">{"standalone1",#N/A,FALSE,"DCFBase";"standalone2",#N/A,FALSE,"DCFBase"}</definedName>
    <definedName name="wrn.print._.standalone." hidden="1">{"standalone1",#N/A,FALSE,"DCFBase";"standalone2",#N/A,FALSE,"DCFBase"}</definedName>
    <definedName name="wrn.print._.standalone._1" localSheetId="6" hidden="1">{"standalone1",#N/A,FALSE,"DCFBase";"standalone2",#N/A,FALSE,"DCFBase"}</definedName>
    <definedName name="wrn.print._.standalone._1" localSheetId="5" hidden="1">{"standalone1",#N/A,FALSE,"DCFBase";"standalone2",#N/A,FALSE,"DCFBase"}</definedName>
    <definedName name="wrn.print._.standalone._1" localSheetId="4" hidden="1">{"standalone1",#N/A,FALSE,"DCFBase";"standalone2",#N/A,FALSE,"DCFBase"}</definedName>
    <definedName name="wrn.print._.standalone._1" localSheetId="3" hidden="1">{"standalone1",#N/A,FALSE,"DCFBase";"standalone2",#N/A,FALSE,"DCFBase"}</definedName>
    <definedName name="wrn.print._.standalone._1" hidden="1">{"standalone1",#N/A,FALSE,"DCFBase";"standalone2",#N/A,FALSE,"DCFBase"}</definedName>
    <definedName name="wrn.print._.summary._.sheets." localSheetId="6" hidden="1">{"summary1",#N/A,TRUE,"Comps";"summary2",#N/A,TRUE,"Comps";"summary3",#N/A,TRUE,"Comps"}</definedName>
    <definedName name="wrn.print._.summary._.sheets." localSheetId="5" hidden="1">{"summary1",#N/A,TRUE,"Comps";"summary2",#N/A,TRUE,"Comps";"summary3",#N/A,TRUE,"Comps"}</definedName>
    <definedName name="wrn.print._.summary._.sheets." localSheetId="4" hidden="1">{"summary1",#N/A,TRUE,"Comps";"summary2",#N/A,TRUE,"Comps";"summary3",#N/A,TRUE,"Comps"}</definedName>
    <definedName name="wrn.print._.summary._.sheets." localSheetId="3" hidden="1">{"summary1",#N/A,TRUE,"Comps";"summary2",#N/A,TRUE,"Comps";"summary3",#N/A,TRUE,"Comps"}</definedName>
    <definedName name="wrn.print._.summary._.sheets." hidden="1">{"summary1",#N/A,TRUE,"Comps";"summary2",#N/A,TRUE,"Comps";"summary3",#N/A,TRUE,"Comps"}</definedName>
    <definedName name="wrn.print._.summary._.sheets._1" localSheetId="6" hidden="1">{"summary1",#N/A,TRUE,"Comps";"summary2",#N/A,TRUE,"Comps";"summary3",#N/A,TRUE,"Comps"}</definedName>
    <definedName name="wrn.print._.summary._.sheets._1" localSheetId="5" hidden="1">{"summary1",#N/A,TRUE,"Comps";"summary2",#N/A,TRUE,"Comps";"summary3",#N/A,TRUE,"Comps"}</definedName>
    <definedName name="wrn.print._.summary._.sheets._1" localSheetId="4" hidden="1">{"summary1",#N/A,TRUE,"Comps";"summary2",#N/A,TRUE,"Comps";"summary3",#N/A,TRUE,"Comps"}</definedName>
    <definedName name="wrn.print._.summary._.sheets._1" localSheetId="3" hidden="1">{"summary1",#N/A,TRUE,"Comps";"summary2",#N/A,TRUE,"Comps";"summary3",#N/A,TRUE,"Comps"}</definedName>
    <definedName name="wrn.print._.summary._.sheets._1" hidden="1">{"summary1",#N/A,TRUE,"Comps";"summary2",#N/A,TRUE,"Comps";"summary3",#N/A,TRUE,"Comps"}</definedName>
    <definedName name="wrn.PRINT._1" localSheetId="6" hidden="1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wrn.PRINT._1" localSheetId="5" hidden="1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wrn.PRINT._1" localSheetId="4" hidden="1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wrn.PRINT._1" localSheetId="3" hidden="1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wrn.PRINT._1" hidden="1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wrn.Print_CSC." localSheetId="6" hidden="1">{"CSC_1",#N/A,FALSE,"CSC Outputs";"CSC_2",#N/A,FALSE,"CSC Outputs"}</definedName>
    <definedName name="wrn.Print_CSC." localSheetId="5" hidden="1">{"CSC_1",#N/A,FALSE,"CSC Outputs";"CSC_2",#N/A,FALSE,"CSC Outputs"}</definedName>
    <definedName name="wrn.Print_CSC." localSheetId="4" hidden="1">{"CSC_1",#N/A,FALSE,"CSC Outputs";"CSC_2",#N/A,FALSE,"CSC Outputs"}</definedName>
    <definedName name="wrn.Print_CSC." localSheetId="3" hidden="1">{"CSC_1",#N/A,FALSE,"CSC Outputs";"CSC_2",#N/A,FALSE,"CSC Outputs"}</definedName>
    <definedName name="wrn.Print_CSC." hidden="1">{"CSC_1",#N/A,FALSE,"CSC Outputs";"CSC_2",#N/A,FALSE,"CSC Outputs"}</definedName>
    <definedName name="wrn.Print_CSC._1" localSheetId="6" hidden="1">{"CSC_1",#N/A,FALSE,"CSC Outputs";"CSC_2",#N/A,FALSE,"CSC Outputs"}</definedName>
    <definedName name="wrn.Print_CSC._1" localSheetId="5" hidden="1">{"CSC_1",#N/A,FALSE,"CSC Outputs";"CSC_2",#N/A,FALSE,"CSC Outputs"}</definedName>
    <definedName name="wrn.Print_CSC._1" localSheetId="4" hidden="1">{"CSC_1",#N/A,FALSE,"CSC Outputs";"CSC_2",#N/A,FALSE,"CSC Outputs"}</definedName>
    <definedName name="wrn.Print_CSC._1" localSheetId="3" hidden="1">{"CSC_1",#N/A,FALSE,"CSC Outputs";"CSC_2",#N/A,FALSE,"CSC Outputs"}</definedName>
    <definedName name="wrn.Print_CSC._1" hidden="1">{"CSC_1",#N/A,FALSE,"CSC Outputs";"CSC_2",#N/A,FALSE,"CSC Outputs"}</definedName>
    <definedName name="wrn.Print_model." localSheetId="6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wrn.Print_model." localSheetId="5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wrn.Print_model." localSheetId="4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wrn.Print_model." localSheetId="3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wrn.Print_model.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wrn.Print_model._1" localSheetId="6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wrn.Print_model._1" localSheetId="5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wrn.Print_model._1" localSheetId="4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wrn.Print_model._1" localSheetId="3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wrn.Print_model._1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wrn.print_model1" localSheetId="6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wrn.print_model1" localSheetId="5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wrn.print_model1" localSheetId="4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wrn.print_model1" localSheetId="3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wrn.print_model1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wrn.print_model1_1" localSheetId="6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wrn.print_model1_1" localSheetId="5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wrn.print_model1_1" localSheetId="4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wrn.print_model1_1" localSheetId="3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wrn.print_model1_1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wrn.PROD._.PLAN._.OPTION._.4." localSheetId="6" hidden="1">{"TOP 4",#N/A,FALSE,"MVR_SUM OPTION 4 BY MO";"TOP 3A",#N/A,FALSE,"MVR_SUM OPTION 3A BY MO";"TOP OPT 4 VS 3A",#N/A,FALSE,"MVR_SUM OPTION 4 VS 3A BY MO";#N/A,#N/A,FALSE,"MVR_SUM OPTION 4 SUM";#N/A,#N/A,FALSE,"PROD PLAN 4";#N/A,#N/A,FALSE,"PROD PLAN 3A";#N/A,#N/A,FALSE,"PROD UNITS 4 VS 3A";#N/A,#N/A,FALSE,"DLV 4 VS 3A";#N/A,#N/A,FALSE,"SPD 4 VS 3A";#N/A,#N/A,FALSE,"ABS 4 VS 3A"}</definedName>
    <definedName name="wrn.PROD._.PLAN._.OPTION._.4." localSheetId="5" hidden="1">{"TOP 4",#N/A,FALSE,"MVR_SUM OPTION 4 BY MO";"TOP 3A",#N/A,FALSE,"MVR_SUM OPTION 3A BY MO";"TOP OPT 4 VS 3A",#N/A,FALSE,"MVR_SUM OPTION 4 VS 3A BY MO";#N/A,#N/A,FALSE,"MVR_SUM OPTION 4 SUM";#N/A,#N/A,FALSE,"PROD PLAN 4";#N/A,#N/A,FALSE,"PROD PLAN 3A";#N/A,#N/A,FALSE,"PROD UNITS 4 VS 3A";#N/A,#N/A,FALSE,"DLV 4 VS 3A";#N/A,#N/A,FALSE,"SPD 4 VS 3A";#N/A,#N/A,FALSE,"ABS 4 VS 3A"}</definedName>
    <definedName name="wrn.PROD._.PLAN._.OPTION._.4." localSheetId="4" hidden="1">{"TOP 4",#N/A,FALSE,"MVR_SUM OPTION 4 BY MO";"TOP 3A",#N/A,FALSE,"MVR_SUM OPTION 3A BY MO";"TOP OPT 4 VS 3A",#N/A,FALSE,"MVR_SUM OPTION 4 VS 3A BY MO";#N/A,#N/A,FALSE,"MVR_SUM OPTION 4 SUM";#N/A,#N/A,FALSE,"PROD PLAN 4";#N/A,#N/A,FALSE,"PROD PLAN 3A";#N/A,#N/A,FALSE,"PROD UNITS 4 VS 3A";#N/A,#N/A,FALSE,"DLV 4 VS 3A";#N/A,#N/A,FALSE,"SPD 4 VS 3A";#N/A,#N/A,FALSE,"ABS 4 VS 3A"}</definedName>
    <definedName name="wrn.PROD._.PLAN._.OPTION._.4." localSheetId="3" hidden="1">{"TOP 4",#N/A,FALSE,"MVR_SUM OPTION 4 BY MO";"TOP 3A",#N/A,FALSE,"MVR_SUM OPTION 3A BY MO";"TOP OPT 4 VS 3A",#N/A,FALSE,"MVR_SUM OPTION 4 VS 3A BY MO";#N/A,#N/A,FALSE,"MVR_SUM OPTION 4 SUM";#N/A,#N/A,FALSE,"PROD PLAN 4";#N/A,#N/A,FALSE,"PROD PLAN 3A";#N/A,#N/A,FALSE,"PROD UNITS 4 VS 3A";#N/A,#N/A,FALSE,"DLV 4 VS 3A";#N/A,#N/A,FALSE,"SPD 4 VS 3A";#N/A,#N/A,FALSE,"ABS 4 VS 3A"}</definedName>
    <definedName name="wrn.PROD._.PLAN._.OPTION._.4." hidden="1">{"TOP 4",#N/A,FALSE,"MVR_SUM OPTION 4 BY MO";"TOP 3A",#N/A,FALSE,"MVR_SUM OPTION 3A BY MO";"TOP OPT 4 VS 3A",#N/A,FALSE,"MVR_SUM OPTION 4 VS 3A BY MO";#N/A,#N/A,FALSE,"MVR_SUM OPTION 4 SUM";#N/A,#N/A,FALSE,"PROD PLAN 4";#N/A,#N/A,FALSE,"PROD PLAN 3A";#N/A,#N/A,FALSE,"PROD UNITS 4 VS 3A";#N/A,#N/A,FALSE,"DLV 4 VS 3A";#N/A,#N/A,FALSE,"SPD 4 VS 3A";#N/A,#N/A,FALSE,"ABS 4 VS 3A"}</definedName>
    <definedName name="wrn.PROD._.PLAN._.OPTION._.4._1" localSheetId="6" hidden="1">{"TOP 4",#N/A,FALSE,"MVR_SUM OPTION 4 BY MO";"TOP 3A",#N/A,FALSE,"MVR_SUM OPTION 3A BY MO";"TOP OPT 4 VS 3A",#N/A,FALSE,"MVR_SUM OPTION 4 VS 3A BY MO";#N/A,#N/A,FALSE,"MVR_SUM OPTION 4 SUM";#N/A,#N/A,FALSE,"PROD PLAN 4";#N/A,#N/A,FALSE,"PROD PLAN 3A";#N/A,#N/A,FALSE,"PROD UNITS 4 VS 3A";#N/A,#N/A,FALSE,"DLV 4 VS 3A";#N/A,#N/A,FALSE,"SPD 4 VS 3A";#N/A,#N/A,FALSE,"ABS 4 VS 3A"}</definedName>
    <definedName name="wrn.PROD._.PLAN._.OPTION._.4._1" localSheetId="5" hidden="1">{"TOP 4",#N/A,FALSE,"MVR_SUM OPTION 4 BY MO";"TOP 3A",#N/A,FALSE,"MVR_SUM OPTION 3A BY MO";"TOP OPT 4 VS 3A",#N/A,FALSE,"MVR_SUM OPTION 4 VS 3A BY MO";#N/A,#N/A,FALSE,"MVR_SUM OPTION 4 SUM";#N/A,#N/A,FALSE,"PROD PLAN 4";#N/A,#N/A,FALSE,"PROD PLAN 3A";#N/A,#N/A,FALSE,"PROD UNITS 4 VS 3A";#N/A,#N/A,FALSE,"DLV 4 VS 3A";#N/A,#N/A,FALSE,"SPD 4 VS 3A";#N/A,#N/A,FALSE,"ABS 4 VS 3A"}</definedName>
    <definedName name="wrn.PROD._.PLAN._.OPTION._.4._1" localSheetId="4" hidden="1">{"TOP 4",#N/A,FALSE,"MVR_SUM OPTION 4 BY MO";"TOP 3A",#N/A,FALSE,"MVR_SUM OPTION 3A BY MO";"TOP OPT 4 VS 3A",#N/A,FALSE,"MVR_SUM OPTION 4 VS 3A BY MO";#N/A,#N/A,FALSE,"MVR_SUM OPTION 4 SUM";#N/A,#N/A,FALSE,"PROD PLAN 4";#N/A,#N/A,FALSE,"PROD PLAN 3A";#N/A,#N/A,FALSE,"PROD UNITS 4 VS 3A";#N/A,#N/A,FALSE,"DLV 4 VS 3A";#N/A,#N/A,FALSE,"SPD 4 VS 3A";#N/A,#N/A,FALSE,"ABS 4 VS 3A"}</definedName>
    <definedName name="wrn.PROD._.PLAN._.OPTION._.4._1" localSheetId="3" hidden="1">{"TOP 4",#N/A,FALSE,"MVR_SUM OPTION 4 BY MO";"TOP 3A",#N/A,FALSE,"MVR_SUM OPTION 3A BY MO";"TOP OPT 4 VS 3A",#N/A,FALSE,"MVR_SUM OPTION 4 VS 3A BY MO";#N/A,#N/A,FALSE,"MVR_SUM OPTION 4 SUM";#N/A,#N/A,FALSE,"PROD PLAN 4";#N/A,#N/A,FALSE,"PROD PLAN 3A";#N/A,#N/A,FALSE,"PROD UNITS 4 VS 3A";#N/A,#N/A,FALSE,"DLV 4 VS 3A";#N/A,#N/A,FALSE,"SPD 4 VS 3A";#N/A,#N/A,FALSE,"ABS 4 VS 3A"}</definedName>
    <definedName name="wrn.PROD._.PLAN._.OPTION._.4._1" hidden="1">{"TOP 4",#N/A,FALSE,"MVR_SUM OPTION 4 BY MO";"TOP 3A",#N/A,FALSE,"MVR_SUM OPTION 3A BY MO";"TOP OPT 4 VS 3A",#N/A,FALSE,"MVR_SUM OPTION 4 VS 3A BY MO";#N/A,#N/A,FALSE,"MVR_SUM OPTION 4 SUM";#N/A,#N/A,FALSE,"PROD PLAN 4";#N/A,#N/A,FALSE,"PROD PLAN 3A";#N/A,#N/A,FALSE,"PROD UNITS 4 VS 3A";#N/A,#N/A,FALSE,"DLV 4 VS 3A";#N/A,#N/A,FALSE,"SPD 4 VS 3A";#N/A,#N/A,FALSE,"ABS 4 VS 3A"}</definedName>
    <definedName name="wrn.PSI._.123100." localSheetId="6" hidden="1">{#N/A,#N/A,FALSE,"contents";#N/A,#N/A,FALSE,"Balance sheet";#N/A,#N/A,FALSE,"Cash-flow";#N/A,#N/A,FALSE,"income";#N/A,#N/A,FALSE,"equity";#N/A,#N/A,FALSE,"notes";#N/A,#N/A,FALSE,"supplemental"}</definedName>
    <definedName name="wrn.PSI._.123100." localSheetId="5" hidden="1">{#N/A,#N/A,FALSE,"contents";#N/A,#N/A,FALSE,"Balance sheet";#N/A,#N/A,FALSE,"Cash-flow";#N/A,#N/A,FALSE,"income";#N/A,#N/A,FALSE,"equity";#N/A,#N/A,FALSE,"notes";#N/A,#N/A,FALSE,"supplemental"}</definedName>
    <definedName name="wrn.PSI._.123100." localSheetId="4" hidden="1">{#N/A,#N/A,FALSE,"contents";#N/A,#N/A,FALSE,"Balance sheet";#N/A,#N/A,FALSE,"Cash-flow";#N/A,#N/A,FALSE,"income";#N/A,#N/A,FALSE,"equity";#N/A,#N/A,FALSE,"notes";#N/A,#N/A,FALSE,"supplemental"}</definedName>
    <definedName name="wrn.PSI._.123100." localSheetId="3" hidden="1">{#N/A,#N/A,FALSE,"contents";#N/A,#N/A,FALSE,"Balance sheet";#N/A,#N/A,FALSE,"Cash-flow";#N/A,#N/A,FALSE,"income";#N/A,#N/A,FALSE,"equity";#N/A,#N/A,FALSE,"notes";#N/A,#N/A,FALSE,"supplemental"}</definedName>
    <definedName name="wrn.PSI._.123100." hidden="1">{#N/A,#N/A,FALSE,"contents";#N/A,#N/A,FALSE,"Balance sheet";#N/A,#N/A,FALSE,"Cash-flow";#N/A,#N/A,FALSE,"income";#N/A,#N/A,FALSE,"equity";#N/A,#N/A,FALSE,"notes";#N/A,#N/A,FALSE,"supplemental"}</definedName>
    <definedName name="wrn.PSI._.123100._1" localSheetId="6" hidden="1">{#N/A,#N/A,FALSE,"contents";#N/A,#N/A,FALSE,"Balance sheet";#N/A,#N/A,FALSE,"Cash-flow";#N/A,#N/A,FALSE,"income";#N/A,#N/A,FALSE,"equity";#N/A,#N/A,FALSE,"notes";#N/A,#N/A,FALSE,"supplemental"}</definedName>
    <definedName name="wrn.PSI._.123100._1" localSheetId="5" hidden="1">{#N/A,#N/A,FALSE,"contents";#N/A,#N/A,FALSE,"Balance sheet";#N/A,#N/A,FALSE,"Cash-flow";#N/A,#N/A,FALSE,"income";#N/A,#N/A,FALSE,"equity";#N/A,#N/A,FALSE,"notes";#N/A,#N/A,FALSE,"supplemental"}</definedName>
    <definedName name="wrn.PSI._.123100._1" localSheetId="4" hidden="1">{#N/A,#N/A,FALSE,"contents";#N/A,#N/A,FALSE,"Balance sheet";#N/A,#N/A,FALSE,"Cash-flow";#N/A,#N/A,FALSE,"income";#N/A,#N/A,FALSE,"equity";#N/A,#N/A,FALSE,"notes";#N/A,#N/A,FALSE,"supplemental"}</definedName>
    <definedName name="wrn.PSI._.123100._1" localSheetId="3" hidden="1">{#N/A,#N/A,FALSE,"contents";#N/A,#N/A,FALSE,"Balance sheet";#N/A,#N/A,FALSE,"Cash-flow";#N/A,#N/A,FALSE,"income";#N/A,#N/A,FALSE,"equity";#N/A,#N/A,FALSE,"notes";#N/A,#N/A,FALSE,"supplemental"}</definedName>
    <definedName name="wrn.PSI._.123100._1" hidden="1">{#N/A,#N/A,FALSE,"contents";#N/A,#N/A,FALSE,"Balance sheet";#N/A,#N/A,FALSE,"Cash-flow";#N/A,#N/A,FALSE,"income";#N/A,#N/A,FALSE,"equity";#N/A,#N/A,FALSE,"notes";#N/A,#N/A,FALSE,"supplemental"}</definedName>
    <definedName name="wrn.PSI._.3._.31._.01." localSheetId="6" hidden="1">{#N/A,#N/A,FALSE,"contents";#N/A,#N/A,FALSE,"review report";#N/A,#N/A,FALSE,"Balance sheet";#N/A,#N/A,FALSE,"income";#N/A,#N/A,FALSE,"Cash-flow";#N/A,#N/A,FALSE,"Equity";#N/A,#N/A,FALSE,"Supplemental";#N/A,#N/A,FALSE,"Notes"}</definedName>
    <definedName name="wrn.PSI._.3._.31._.01." localSheetId="5" hidden="1">{#N/A,#N/A,FALSE,"contents";#N/A,#N/A,FALSE,"review report";#N/A,#N/A,FALSE,"Balance sheet";#N/A,#N/A,FALSE,"income";#N/A,#N/A,FALSE,"Cash-flow";#N/A,#N/A,FALSE,"Equity";#N/A,#N/A,FALSE,"Supplemental";#N/A,#N/A,FALSE,"Notes"}</definedName>
    <definedName name="wrn.PSI._.3._.31._.01." localSheetId="4" hidden="1">{#N/A,#N/A,FALSE,"contents";#N/A,#N/A,FALSE,"review report";#N/A,#N/A,FALSE,"Balance sheet";#N/A,#N/A,FALSE,"income";#N/A,#N/A,FALSE,"Cash-flow";#N/A,#N/A,FALSE,"Equity";#N/A,#N/A,FALSE,"Supplemental";#N/A,#N/A,FALSE,"Notes"}</definedName>
    <definedName name="wrn.PSI._.3._.31._.01." localSheetId="3" hidden="1">{#N/A,#N/A,FALSE,"contents";#N/A,#N/A,FALSE,"review report";#N/A,#N/A,FALSE,"Balance sheet";#N/A,#N/A,FALSE,"income";#N/A,#N/A,FALSE,"Cash-flow";#N/A,#N/A,FALSE,"Equity";#N/A,#N/A,FALSE,"Supplemental";#N/A,#N/A,FALSE,"Notes"}</definedName>
    <definedName name="wrn.PSI._.3._.31._.01." hidden="1">{#N/A,#N/A,FALSE,"contents";#N/A,#N/A,FALSE,"review report";#N/A,#N/A,FALSE,"Balance sheet";#N/A,#N/A,FALSE,"income";#N/A,#N/A,FALSE,"Cash-flow";#N/A,#N/A,FALSE,"Equity";#N/A,#N/A,FALSE,"Supplemental";#N/A,#N/A,FALSE,"Notes"}</definedName>
    <definedName name="wrn.PSI._.3._.31._.01._1" localSheetId="6" hidden="1">{#N/A,#N/A,FALSE,"contents";#N/A,#N/A,FALSE,"review report";#N/A,#N/A,FALSE,"Balance sheet";#N/A,#N/A,FALSE,"income";#N/A,#N/A,FALSE,"Cash-flow";#N/A,#N/A,FALSE,"Equity";#N/A,#N/A,FALSE,"Supplemental";#N/A,#N/A,FALSE,"Notes"}</definedName>
    <definedName name="wrn.PSI._.3._.31._.01._1" localSheetId="5" hidden="1">{#N/A,#N/A,FALSE,"contents";#N/A,#N/A,FALSE,"review report";#N/A,#N/A,FALSE,"Balance sheet";#N/A,#N/A,FALSE,"income";#N/A,#N/A,FALSE,"Cash-flow";#N/A,#N/A,FALSE,"Equity";#N/A,#N/A,FALSE,"Supplemental";#N/A,#N/A,FALSE,"Notes"}</definedName>
    <definedName name="wrn.PSI._.3._.31._.01._1" localSheetId="4" hidden="1">{#N/A,#N/A,FALSE,"contents";#N/A,#N/A,FALSE,"review report";#N/A,#N/A,FALSE,"Balance sheet";#N/A,#N/A,FALSE,"income";#N/A,#N/A,FALSE,"Cash-flow";#N/A,#N/A,FALSE,"Equity";#N/A,#N/A,FALSE,"Supplemental";#N/A,#N/A,FALSE,"Notes"}</definedName>
    <definedName name="wrn.PSI._.3._.31._.01._1" localSheetId="3" hidden="1">{#N/A,#N/A,FALSE,"contents";#N/A,#N/A,FALSE,"review report";#N/A,#N/A,FALSE,"Balance sheet";#N/A,#N/A,FALSE,"income";#N/A,#N/A,FALSE,"Cash-flow";#N/A,#N/A,FALSE,"Equity";#N/A,#N/A,FALSE,"Supplemental";#N/A,#N/A,FALSE,"Notes"}</definedName>
    <definedName name="wrn.PSI._.3._.31._.01._1" hidden="1">{#N/A,#N/A,FALSE,"contents";#N/A,#N/A,FALSE,"review report";#N/A,#N/A,FALSE,"Balance sheet";#N/A,#N/A,FALSE,"income";#N/A,#N/A,FALSE,"Cash-flow";#N/A,#N/A,FALSE,"Equity";#N/A,#N/A,FALSE,"Supplemental";#N/A,#N/A,FALSE,"Notes"}</definedName>
    <definedName name="wrn.PSI._.June._.30._.2001." localSheetId="6" hidden="1">{#N/A,#N/A,FALSE,"contents";#N/A,#N/A,FALSE,"Balance sheet";#N/A,#N/A,FALSE,"income";#N/A,#N/A,FALSE,"Cash-flow";#N/A,#N/A,FALSE,"Equity";#N/A,#N/A,FALSE,"Notes";#N/A,#N/A,FALSE,"Supplemental"}</definedName>
    <definedName name="wrn.PSI._.June._.30._.2001." localSheetId="5" hidden="1">{#N/A,#N/A,FALSE,"contents";#N/A,#N/A,FALSE,"Balance sheet";#N/A,#N/A,FALSE,"income";#N/A,#N/A,FALSE,"Cash-flow";#N/A,#N/A,FALSE,"Equity";#N/A,#N/A,FALSE,"Notes";#N/A,#N/A,FALSE,"Supplemental"}</definedName>
    <definedName name="wrn.PSI._.June._.30._.2001." localSheetId="4" hidden="1">{#N/A,#N/A,FALSE,"contents";#N/A,#N/A,FALSE,"Balance sheet";#N/A,#N/A,FALSE,"income";#N/A,#N/A,FALSE,"Cash-flow";#N/A,#N/A,FALSE,"Equity";#N/A,#N/A,FALSE,"Notes";#N/A,#N/A,FALSE,"Supplemental"}</definedName>
    <definedName name="wrn.PSI._.June._.30._.2001." localSheetId="3" hidden="1">{#N/A,#N/A,FALSE,"contents";#N/A,#N/A,FALSE,"Balance sheet";#N/A,#N/A,FALSE,"income";#N/A,#N/A,FALSE,"Cash-flow";#N/A,#N/A,FALSE,"Equity";#N/A,#N/A,FALSE,"Notes";#N/A,#N/A,FALSE,"Supplemental"}</definedName>
    <definedName name="wrn.PSI._.June._.30._.2001." hidden="1">{#N/A,#N/A,FALSE,"contents";#N/A,#N/A,FALSE,"Balance sheet";#N/A,#N/A,FALSE,"income";#N/A,#N/A,FALSE,"Cash-flow";#N/A,#N/A,FALSE,"Equity";#N/A,#N/A,FALSE,"Notes";#N/A,#N/A,FALSE,"Supplemental"}</definedName>
    <definedName name="wrn.PSI._.June._.30._.2001._1" localSheetId="6" hidden="1">{#N/A,#N/A,FALSE,"contents";#N/A,#N/A,FALSE,"Balance sheet";#N/A,#N/A,FALSE,"income";#N/A,#N/A,FALSE,"Cash-flow";#N/A,#N/A,FALSE,"Equity";#N/A,#N/A,FALSE,"Notes";#N/A,#N/A,FALSE,"Supplemental"}</definedName>
    <definedName name="wrn.PSI._.June._.30._.2001._1" localSheetId="5" hidden="1">{#N/A,#N/A,FALSE,"contents";#N/A,#N/A,FALSE,"Balance sheet";#N/A,#N/A,FALSE,"income";#N/A,#N/A,FALSE,"Cash-flow";#N/A,#N/A,FALSE,"Equity";#N/A,#N/A,FALSE,"Notes";#N/A,#N/A,FALSE,"Supplemental"}</definedName>
    <definedName name="wrn.PSI._.June._.30._.2001._1" localSheetId="4" hidden="1">{#N/A,#N/A,FALSE,"contents";#N/A,#N/A,FALSE,"Balance sheet";#N/A,#N/A,FALSE,"income";#N/A,#N/A,FALSE,"Cash-flow";#N/A,#N/A,FALSE,"Equity";#N/A,#N/A,FALSE,"Notes";#N/A,#N/A,FALSE,"Supplemental"}</definedName>
    <definedName name="wrn.PSI._.June._.30._.2001._1" localSheetId="3" hidden="1">{#N/A,#N/A,FALSE,"contents";#N/A,#N/A,FALSE,"Balance sheet";#N/A,#N/A,FALSE,"income";#N/A,#N/A,FALSE,"Cash-flow";#N/A,#N/A,FALSE,"Equity";#N/A,#N/A,FALSE,"Notes";#N/A,#N/A,FALSE,"Supplemental"}</definedName>
    <definedName name="wrn.PSI._.June._.30._.2001._1" hidden="1">{#N/A,#N/A,FALSE,"contents";#N/A,#N/A,FALSE,"Balance sheet";#N/A,#N/A,FALSE,"income";#N/A,#N/A,FALSE,"Cash-flow";#N/A,#N/A,FALSE,"Equity";#N/A,#N/A,FALSE,"Notes";#N/A,#N/A,FALSE,"Supplemental"}</definedName>
    <definedName name="wrn.RESERVE._.SCHEDULE." localSheetId="6" hidden="1">{#N/A,#N/A,FALSE,"Sheet8";#N/A,#N/A,FALSE,"Sheet7"}</definedName>
    <definedName name="wrn.RESERVE._.SCHEDULE." localSheetId="5" hidden="1">{#N/A,#N/A,FALSE,"Sheet8";#N/A,#N/A,FALSE,"Sheet7"}</definedName>
    <definedName name="wrn.RESERVE._.SCHEDULE." localSheetId="4" hidden="1">{#N/A,#N/A,FALSE,"Sheet8";#N/A,#N/A,FALSE,"Sheet7"}</definedName>
    <definedName name="wrn.RESERVE._.SCHEDULE." localSheetId="3" hidden="1">{#N/A,#N/A,FALSE,"Sheet8";#N/A,#N/A,FALSE,"Sheet7"}</definedName>
    <definedName name="wrn.RESERVE._.SCHEDULE." hidden="1">{#N/A,#N/A,FALSE,"Sheet8";#N/A,#N/A,FALSE,"Sheet7"}</definedName>
    <definedName name="wrn.RESERVE._.SCHEDULE._1" localSheetId="6" hidden="1">{#N/A,#N/A,FALSE,"Sheet8";#N/A,#N/A,FALSE,"Sheet7"}</definedName>
    <definedName name="wrn.RESERVE._.SCHEDULE._1" localSheetId="5" hidden="1">{#N/A,#N/A,FALSE,"Sheet8";#N/A,#N/A,FALSE,"Sheet7"}</definedName>
    <definedName name="wrn.RESERVE._.SCHEDULE._1" localSheetId="4" hidden="1">{#N/A,#N/A,FALSE,"Sheet8";#N/A,#N/A,FALSE,"Sheet7"}</definedName>
    <definedName name="wrn.RESERVE._.SCHEDULE._1" localSheetId="3" hidden="1">{#N/A,#N/A,FALSE,"Sheet8";#N/A,#N/A,FALSE,"Sheet7"}</definedName>
    <definedName name="wrn.RESERVE._.SCHEDULE._1" hidden="1">{#N/A,#N/A,FALSE,"Sheet8";#N/A,#N/A,FALSE,"Sheet7"}</definedName>
    <definedName name="wrn.revenue._.detail." localSheetId="6" hidden="1">{"revenue detail 1",#N/A,FALSE,"Revenue Detail";"revenue detail 2",#N/A,FALSE,"Revenue Detail";"revenue detail 3",#N/A,FALSE,"Revenue Detail";"revenue detail 4",#N/A,FALSE,"Revenue Detail"}</definedName>
    <definedName name="wrn.revenue._.detail." localSheetId="5" hidden="1">{"revenue detail 1",#N/A,FALSE,"Revenue Detail";"revenue detail 2",#N/A,FALSE,"Revenue Detail";"revenue detail 3",#N/A,FALSE,"Revenue Detail";"revenue detail 4",#N/A,FALSE,"Revenue Detail"}</definedName>
    <definedName name="wrn.revenue._.detail." localSheetId="4" hidden="1">{"revenue detail 1",#N/A,FALSE,"Revenue Detail";"revenue detail 2",#N/A,FALSE,"Revenue Detail";"revenue detail 3",#N/A,FALSE,"Revenue Detail";"revenue detail 4",#N/A,FALSE,"Revenue Detail"}</definedName>
    <definedName name="wrn.revenue._.detail." localSheetId="3" hidden="1">{"revenue detail 1",#N/A,FALSE,"Revenue Detail";"revenue detail 2",#N/A,FALSE,"Revenue Detail";"revenue detail 3",#N/A,FALSE,"Revenue Detail";"revenue detail 4",#N/A,FALSE,"Revenue Detail"}</definedName>
    <definedName name="wrn.revenue._.detail." hidden="1">{"revenue detail 1",#N/A,FALSE,"Revenue Detail";"revenue detail 2",#N/A,FALSE,"Revenue Detail";"revenue detail 3",#N/A,FALSE,"Revenue Detail";"revenue detail 4",#N/A,FALSE,"Revenue Detail"}</definedName>
    <definedName name="wrn.revenue._.detail._1" localSheetId="6" hidden="1">{"revenue detail 1",#N/A,FALSE,"Revenue Detail";"revenue detail 2",#N/A,FALSE,"Revenue Detail";"revenue detail 3",#N/A,FALSE,"Revenue Detail";"revenue detail 4",#N/A,FALSE,"Revenue Detail"}</definedName>
    <definedName name="wrn.revenue._.detail._1" localSheetId="5" hidden="1">{"revenue detail 1",#N/A,FALSE,"Revenue Detail";"revenue detail 2",#N/A,FALSE,"Revenue Detail";"revenue detail 3",#N/A,FALSE,"Revenue Detail";"revenue detail 4",#N/A,FALSE,"Revenue Detail"}</definedName>
    <definedName name="wrn.revenue._.detail._1" localSheetId="4" hidden="1">{"revenue detail 1",#N/A,FALSE,"Revenue Detail";"revenue detail 2",#N/A,FALSE,"Revenue Detail";"revenue detail 3",#N/A,FALSE,"Revenue Detail";"revenue detail 4",#N/A,FALSE,"Revenue Detail"}</definedName>
    <definedName name="wrn.revenue._.detail._1" localSheetId="3" hidden="1">{"revenue detail 1",#N/A,FALSE,"Revenue Detail";"revenue detail 2",#N/A,FALSE,"Revenue Detail";"revenue detail 3",#N/A,FALSE,"Revenue Detail";"revenue detail 4",#N/A,FALSE,"Revenue Detail"}</definedName>
    <definedName name="wrn.revenue._.detail._1" hidden="1">{"revenue detail 1",#N/A,FALSE,"Revenue Detail";"revenue detail 2",#N/A,FALSE,"Revenue Detail";"revenue detail 3",#N/A,FALSE,"Revenue Detail";"revenue detail 4",#N/A,FALSE,"Revenue Detail"}</definedName>
    <definedName name="wrn.revenue._.graph." localSheetId="6" hidden="1">{"revenue graph",#N/A,FALSE,"Revenue Graph"}</definedName>
    <definedName name="wrn.revenue._.graph." localSheetId="5" hidden="1">{"revenue graph",#N/A,FALSE,"Revenue Graph"}</definedName>
    <definedName name="wrn.revenue._.graph." localSheetId="4" hidden="1">{"revenue graph",#N/A,FALSE,"Revenue Graph"}</definedName>
    <definedName name="wrn.revenue._.graph." localSheetId="3" hidden="1">{"revenue graph",#N/A,FALSE,"Revenue Graph"}</definedName>
    <definedName name="wrn.revenue._.graph." hidden="1">{"revenue graph",#N/A,FALSE,"Revenue Graph"}</definedName>
    <definedName name="wrn.revenue._.graph._1" localSheetId="6" hidden="1">{"revenue graph",#N/A,FALSE,"Revenue Graph"}</definedName>
    <definedName name="wrn.revenue._.graph._1" localSheetId="5" hidden="1">{"revenue graph",#N/A,FALSE,"Revenue Graph"}</definedName>
    <definedName name="wrn.revenue._.graph._1" localSheetId="4" hidden="1">{"revenue graph",#N/A,FALSE,"Revenue Graph"}</definedName>
    <definedName name="wrn.revenue._.graph._1" localSheetId="3" hidden="1">{"revenue graph",#N/A,FALSE,"Revenue Graph"}</definedName>
    <definedName name="wrn.revenue._.graph._1" hidden="1">{"revenue graph",#N/A,FALSE,"Revenue Graph"}</definedName>
    <definedName name="wrn.Riverwood_comp_model." localSheetId="6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wrn.Riverwood_comp_model." localSheetId="5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wrn.Riverwood_comp_model." localSheetId="4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wrn.Riverwood_comp_model." localSheetId="3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wrn.Riverwood_comp_model.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wrn.Riverwood_comp_model._1" localSheetId="6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wrn.Riverwood_comp_model._1" localSheetId="5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wrn.Riverwood_comp_model._1" localSheetId="4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wrn.Riverwood_comp_model._1" localSheetId="3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wrn.Riverwood_comp_model._1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wrn.riverwood_dcf." localSheetId="6" hidden="1">{#N/A,#N/A,FALSE,"Sch 1";#N/A,#N/A,FALSE,"Sch 2";#N/A,#N/A,FALSE,"Sch 3b";#N/A,#N/A,FALSE,"Sch 3a";#N/A,#N/A,FALSE,"Main DCF";#N/A,#N/A,FALSE,"Sch 5";#N/A,#N/A,FALSE,"Assumptions"}</definedName>
    <definedName name="wrn.riverwood_dcf." localSheetId="5" hidden="1">{#N/A,#N/A,FALSE,"Sch 1";#N/A,#N/A,FALSE,"Sch 2";#N/A,#N/A,FALSE,"Sch 3b";#N/A,#N/A,FALSE,"Sch 3a";#N/A,#N/A,FALSE,"Main DCF";#N/A,#N/A,FALSE,"Sch 5";#N/A,#N/A,FALSE,"Assumptions"}</definedName>
    <definedName name="wrn.riverwood_dcf." localSheetId="4" hidden="1">{#N/A,#N/A,FALSE,"Sch 1";#N/A,#N/A,FALSE,"Sch 2";#N/A,#N/A,FALSE,"Sch 3b";#N/A,#N/A,FALSE,"Sch 3a";#N/A,#N/A,FALSE,"Main DCF";#N/A,#N/A,FALSE,"Sch 5";#N/A,#N/A,FALSE,"Assumptions"}</definedName>
    <definedName name="wrn.riverwood_dcf." localSheetId="3" hidden="1">{#N/A,#N/A,FALSE,"Sch 1";#N/A,#N/A,FALSE,"Sch 2";#N/A,#N/A,FALSE,"Sch 3b";#N/A,#N/A,FALSE,"Sch 3a";#N/A,#N/A,FALSE,"Main DCF";#N/A,#N/A,FALSE,"Sch 5";#N/A,#N/A,FALSE,"Assumptions"}</definedName>
    <definedName name="wrn.riverwood_dcf." hidden="1">{#N/A,#N/A,FALSE,"Sch 1";#N/A,#N/A,FALSE,"Sch 2";#N/A,#N/A,FALSE,"Sch 3b";#N/A,#N/A,FALSE,"Sch 3a";#N/A,#N/A,FALSE,"Main DCF";#N/A,#N/A,FALSE,"Sch 5";#N/A,#N/A,FALSE,"Assumptions"}</definedName>
    <definedName name="wrn.riverwood_dcf._1" localSheetId="6" hidden="1">{#N/A,#N/A,FALSE,"Sch 1";#N/A,#N/A,FALSE,"Sch 2";#N/A,#N/A,FALSE,"Sch 3b";#N/A,#N/A,FALSE,"Sch 3a";#N/A,#N/A,FALSE,"Main DCF";#N/A,#N/A,FALSE,"Sch 5";#N/A,#N/A,FALSE,"Assumptions"}</definedName>
    <definedName name="wrn.riverwood_dcf._1" localSheetId="5" hidden="1">{#N/A,#N/A,FALSE,"Sch 1";#N/A,#N/A,FALSE,"Sch 2";#N/A,#N/A,FALSE,"Sch 3b";#N/A,#N/A,FALSE,"Sch 3a";#N/A,#N/A,FALSE,"Main DCF";#N/A,#N/A,FALSE,"Sch 5";#N/A,#N/A,FALSE,"Assumptions"}</definedName>
    <definedName name="wrn.riverwood_dcf._1" localSheetId="4" hidden="1">{#N/A,#N/A,FALSE,"Sch 1";#N/A,#N/A,FALSE,"Sch 2";#N/A,#N/A,FALSE,"Sch 3b";#N/A,#N/A,FALSE,"Sch 3a";#N/A,#N/A,FALSE,"Main DCF";#N/A,#N/A,FALSE,"Sch 5";#N/A,#N/A,FALSE,"Assumptions"}</definedName>
    <definedName name="wrn.riverwood_dcf._1" localSheetId="3" hidden="1">{#N/A,#N/A,FALSE,"Sch 1";#N/A,#N/A,FALSE,"Sch 2";#N/A,#N/A,FALSE,"Sch 3b";#N/A,#N/A,FALSE,"Sch 3a";#N/A,#N/A,FALSE,"Main DCF";#N/A,#N/A,FALSE,"Sch 5";#N/A,#N/A,FALSE,"Assumptions"}</definedName>
    <definedName name="wrn.riverwood_dcf._1" hidden="1">{#N/A,#N/A,FALSE,"Sch 1";#N/A,#N/A,FALSE,"Sch 2";#N/A,#N/A,FALSE,"Sch 3b";#N/A,#N/A,FALSE,"Sch 3a";#N/A,#N/A,FALSE,"Main DCF";#N/A,#N/A,FALSE,"Sch 5";#N/A,#N/A,FALSE,"Assumptions"}</definedName>
    <definedName name="wrn.SALES." localSheetId="6" hidden="1">{#N/A,#N/A,FALSE,"Sheet1"}</definedName>
    <definedName name="wrn.SALES." localSheetId="5" hidden="1">{#N/A,#N/A,FALSE,"Sheet1"}</definedName>
    <definedName name="wrn.SALES." localSheetId="4" hidden="1">{#N/A,#N/A,FALSE,"Sheet1"}</definedName>
    <definedName name="wrn.SALES." localSheetId="3" hidden="1">{#N/A,#N/A,FALSE,"Sheet1"}</definedName>
    <definedName name="wrn.SALES." hidden="1">{#N/A,#N/A,FALSE,"Sheet1"}</definedName>
    <definedName name="wrn.SALES._1" localSheetId="6" hidden="1">{#N/A,#N/A,FALSE,"Sheet1"}</definedName>
    <definedName name="wrn.SALES._1" localSheetId="5" hidden="1">{#N/A,#N/A,FALSE,"Sheet1"}</definedName>
    <definedName name="wrn.SALES._1" localSheetId="4" hidden="1">{#N/A,#N/A,FALSE,"Sheet1"}</definedName>
    <definedName name="wrn.SALES._1" localSheetId="3" hidden="1">{#N/A,#N/A,FALSE,"Sheet1"}</definedName>
    <definedName name="wrn.SALES._1" hidden="1">{#N/A,#N/A,FALSE,"Sheet1"}</definedName>
    <definedName name="wrn.Schema._.123100." localSheetId="6" hidden="1">{#N/A,#N/A,FALSE,"contents";#N/A,#N/A,FALSE,"balance sheet";#N/A,#N/A,FALSE,"income";#N/A,#N/A,FALSE,"cash flow";#N/A,#N/A,FALSE,"equity";#N/A,#N/A,FALSE,"notes";#N/A,#N/A,FALSE,"mkt&amp;gen"}</definedName>
    <definedName name="wrn.Schema._.123100." localSheetId="5" hidden="1">{#N/A,#N/A,FALSE,"contents";#N/A,#N/A,FALSE,"balance sheet";#N/A,#N/A,FALSE,"income";#N/A,#N/A,FALSE,"cash flow";#N/A,#N/A,FALSE,"equity";#N/A,#N/A,FALSE,"notes";#N/A,#N/A,FALSE,"mkt&amp;gen"}</definedName>
    <definedName name="wrn.Schema._.123100." localSheetId="4" hidden="1">{#N/A,#N/A,FALSE,"contents";#N/A,#N/A,FALSE,"balance sheet";#N/A,#N/A,FALSE,"income";#N/A,#N/A,FALSE,"cash flow";#N/A,#N/A,FALSE,"equity";#N/A,#N/A,FALSE,"notes";#N/A,#N/A,FALSE,"mkt&amp;gen"}</definedName>
    <definedName name="wrn.Schema._.123100." localSheetId="3" hidden="1">{#N/A,#N/A,FALSE,"contents";#N/A,#N/A,FALSE,"balance sheet";#N/A,#N/A,FALSE,"income";#N/A,#N/A,FALSE,"cash flow";#N/A,#N/A,FALSE,"equity";#N/A,#N/A,FALSE,"notes";#N/A,#N/A,FALSE,"mkt&amp;gen"}</definedName>
    <definedName name="wrn.Schema._.123100." hidden="1">{#N/A,#N/A,FALSE,"contents";#N/A,#N/A,FALSE,"balance sheet";#N/A,#N/A,FALSE,"income";#N/A,#N/A,FALSE,"cash flow";#N/A,#N/A,FALSE,"equity";#N/A,#N/A,FALSE,"notes";#N/A,#N/A,FALSE,"mkt&amp;gen"}</definedName>
    <definedName name="wrn.Schema._.123100._1" localSheetId="6" hidden="1">{#N/A,#N/A,FALSE,"contents";#N/A,#N/A,FALSE,"balance sheet";#N/A,#N/A,FALSE,"income";#N/A,#N/A,FALSE,"cash flow";#N/A,#N/A,FALSE,"equity";#N/A,#N/A,FALSE,"notes";#N/A,#N/A,FALSE,"mkt&amp;gen"}</definedName>
    <definedName name="wrn.Schema._.123100._1" localSheetId="5" hidden="1">{#N/A,#N/A,FALSE,"contents";#N/A,#N/A,FALSE,"balance sheet";#N/A,#N/A,FALSE,"income";#N/A,#N/A,FALSE,"cash flow";#N/A,#N/A,FALSE,"equity";#N/A,#N/A,FALSE,"notes";#N/A,#N/A,FALSE,"mkt&amp;gen"}</definedName>
    <definedName name="wrn.Schema._.123100._1" localSheetId="4" hidden="1">{#N/A,#N/A,FALSE,"contents";#N/A,#N/A,FALSE,"balance sheet";#N/A,#N/A,FALSE,"income";#N/A,#N/A,FALSE,"cash flow";#N/A,#N/A,FALSE,"equity";#N/A,#N/A,FALSE,"notes";#N/A,#N/A,FALSE,"mkt&amp;gen"}</definedName>
    <definedName name="wrn.Schema._.123100._1" localSheetId="3" hidden="1">{#N/A,#N/A,FALSE,"contents";#N/A,#N/A,FALSE,"balance sheet";#N/A,#N/A,FALSE,"income";#N/A,#N/A,FALSE,"cash flow";#N/A,#N/A,FALSE,"equity";#N/A,#N/A,FALSE,"notes";#N/A,#N/A,FALSE,"mkt&amp;gen"}</definedName>
    <definedName name="wrn.Schema._.123100._1" hidden="1">{#N/A,#N/A,FALSE,"contents";#N/A,#N/A,FALSE,"balance sheet";#N/A,#N/A,FALSE,"income";#N/A,#N/A,FALSE,"cash flow";#N/A,#N/A,FALSE,"equity";#N/A,#N/A,FALSE,"notes";#N/A,#N/A,FALSE,"mkt&amp;gen"}</definedName>
    <definedName name="wrn.Shamir._.09._.30._.2001." localSheetId="6" hidden="1">{#N/A,#N/A,FALSE,"contents";#N/A,#N/A,FALSE,"bal. sheet";#N/A,#N/A,FALSE,"income";#N/A,#N/A,FALSE,"cashflow";#N/A,#N/A,FALSE,"equity";#N/A,#N/A,FALSE,"notes";#N/A,#N/A,FALSE,"supplemental"}</definedName>
    <definedName name="wrn.Shamir._.09._.30._.2001." localSheetId="5" hidden="1">{#N/A,#N/A,FALSE,"contents";#N/A,#N/A,FALSE,"bal. sheet";#N/A,#N/A,FALSE,"income";#N/A,#N/A,FALSE,"cashflow";#N/A,#N/A,FALSE,"equity";#N/A,#N/A,FALSE,"notes";#N/A,#N/A,FALSE,"supplemental"}</definedName>
    <definedName name="wrn.Shamir._.09._.30._.2001." localSheetId="4" hidden="1">{#N/A,#N/A,FALSE,"contents";#N/A,#N/A,FALSE,"bal. sheet";#N/A,#N/A,FALSE,"income";#N/A,#N/A,FALSE,"cashflow";#N/A,#N/A,FALSE,"equity";#N/A,#N/A,FALSE,"notes";#N/A,#N/A,FALSE,"supplemental"}</definedName>
    <definedName name="wrn.Shamir._.09._.30._.2001." localSheetId="3" hidden="1">{#N/A,#N/A,FALSE,"contents";#N/A,#N/A,FALSE,"bal. sheet";#N/A,#N/A,FALSE,"income";#N/A,#N/A,FALSE,"cashflow";#N/A,#N/A,FALSE,"equity";#N/A,#N/A,FALSE,"notes";#N/A,#N/A,FALSE,"supplemental"}</definedName>
    <definedName name="wrn.Shamir._.09._.30._.2001." hidden="1">{#N/A,#N/A,FALSE,"contents";#N/A,#N/A,FALSE,"bal. sheet";#N/A,#N/A,FALSE,"income";#N/A,#N/A,FALSE,"cashflow";#N/A,#N/A,FALSE,"equity";#N/A,#N/A,FALSE,"notes";#N/A,#N/A,FALSE,"supplemental"}</definedName>
    <definedName name="wrn.Shamir._.09._.30._.2001._1" localSheetId="6" hidden="1">{#N/A,#N/A,FALSE,"contents";#N/A,#N/A,FALSE,"bal. sheet";#N/A,#N/A,FALSE,"income";#N/A,#N/A,FALSE,"cashflow";#N/A,#N/A,FALSE,"equity";#N/A,#N/A,FALSE,"notes";#N/A,#N/A,FALSE,"supplemental"}</definedName>
    <definedName name="wrn.Shamir._.09._.30._.2001._1" localSheetId="5" hidden="1">{#N/A,#N/A,FALSE,"contents";#N/A,#N/A,FALSE,"bal. sheet";#N/A,#N/A,FALSE,"income";#N/A,#N/A,FALSE,"cashflow";#N/A,#N/A,FALSE,"equity";#N/A,#N/A,FALSE,"notes";#N/A,#N/A,FALSE,"supplemental"}</definedName>
    <definedName name="wrn.Shamir._.09._.30._.2001._1" localSheetId="4" hidden="1">{#N/A,#N/A,FALSE,"contents";#N/A,#N/A,FALSE,"bal. sheet";#N/A,#N/A,FALSE,"income";#N/A,#N/A,FALSE,"cashflow";#N/A,#N/A,FALSE,"equity";#N/A,#N/A,FALSE,"notes";#N/A,#N/A,FALSE,"supplemental"}</definedName>
    <definedName name="wrn.Shamir._.09._.30._.2001._1" localSheetId="3" hidden="1">{#N/A,#N/A,FALSE,"contents";#N/A,#N/A,FALSE,"bal. sheet";#N/A,#N/A,FALSE,"income";#N/A,#N/A,FALSE,"cashflow";#N/A,#N/A,FALSE,"equity";#N/A,#N/A,FALSE,"notes";#N/A,#N/A,FALSE,"supplemental"}</definedName>
    <definedName name="wrn.Shamir._.09._.30._.2001._1" hidden="1">{#N/A,#N/A,FALSE,"contents";#N/A,#N/A,FALSE,"bal. sheet";#N/A,#N/A,FALSE,"income";#N/A,#N/A,FALSE,"cashflow";#N/A,#N/A,FALSE,"equity";#N/A,#N/A,FALSE,"notes";#N/A,#N/A,FALSE,"supplemental"}</definedName>
    <definedName name="wrn.Short._.Print." localSheetId="6" hidden="1">{#N/A,#N/A,FALSE,"Summary";#N/A,#N/A,FALSE,"Returns";#N/A,#N/A,FALSE,"Opening BS";#N/A,#N/A,FALSE,"EMO";#N/A,#N/A,FALSE,"BS";#N/A,#N/A,FALSE,"IS";#N/A,#N/A,FALSE,"CFS";#N/A,#N/A,FALSE,"Ratios"}</definedName>
    <definedName name="wrn.Short._.Print." localSheetId="5" hidden="1">{#N/A,#N/A,FALSE,"Summary";#N/A,#N/A,FALSE,"Returns";#N/A,#N/A,FALSE,"Opening BS";#N/A,#N/A,FALSE,"EMO";#N/A,#N/A,FALSE,"BS";#N/A,#N/A,FALSE,"IS";#N/A,#N/A,FALSE,"CFS";#N/A,#N/A,FALSE,"Ratios"}</definedName>
    <definedName name="wrn.Short._.Print." localSheetId="4" hidden="1">{#N/A,#N/A,FALSE,"Summary";#N/A,#N/A,FALSE,"Returns";#N/A,#N/A,FALSE,"Opening BS";#N/A,#N/A,FALSE,"EMO";#N/A,#N/A,FALSE,"BS";#N/A,#N/A,FALSE,"IS";#N/A,#N/A,FALSE,"CFS";#N/A,#N/A,FALSE,"Ratios"}</definedName>
    <definedName name="wrn.Short._.Print." localSheetId="3" hidden="1">{#N/A,#N/A,FALSE,"Summary";#N/A,#N/A,FALSE,"Returns";#N/A,#N/A,FALSE,"Opening BS";#N/A,#N/A,FALSE,"EMO";#N/A,#N/A,FALSE,"BS";#N/A,#N/A,FALSE,"IS";#N/A,#N/A,FALSE,"CFS";#N/A,#N/A,FALSE,"Ratios"}</definedName>
    <definedName name="wrn.Short._.Print." hidden="1">{#N/A,#N/A,FALSE,"Summary";#N/A,#N/A,FALSE,"Returns";#N/A,#N/A,FALSE,"Opening BS";#N/A,#N/A,FALSE,"EMO";#N/A,#N/A,FALSE,"BS";#N/A,#N/A,FALSE,"IS";#N/A,#N/A,FALSE,"CFS";#N/A,#N/A,FALSE,"Ratios"}</definedName>
    <definedName name="wrn.Short._.Print._1" localSheetId="6" hidden="1">{#N/A,#N/A,FALSE,"Summary";#N/A,#N/A,FALSE,"Returns";#N/A,#N/A,FALSE,"Opening BS";#N/A,#N/A,FALSE,"EMO";#N/A,#N/A,FALSE,"BS";#N/A,#N/A,FALSE,"IS";#N/A,#N/A,FALSE,"CFS";#N/A,#N/A,FALSE,"Ratios"}</definedName>
    <definedName name="wrn.Short._.Print._1" localSheetId="5" hidden="1">{#N/A,#N/A,FALSE,"Summary";#N/A,#N/A,FALSE,"Returns";#N/A,#N/A,FALSE,"Opening BS";#N/A,#N/A,FALSE,"EMO";#N/A,#N/A,FALSE,"BS";#N/A,#N/A,FALSE,"IS";#N/A,#N/A,FALSE,"CFS";#N/A,#N/A,FALSE,"Ratios"}</definedName>
    <definedName name="wrn.Short._.Print._1" localSheetId="4" hidden="1">{#N/A,#N/A,FALSE,"Summary";#N/A,#N/A,FALSE,"Returns";#N/A,#N/A,FALSE,"Opening BS";#N/A,#N/A,FALSE,"EMO";#N/A,#N/A,FALSE,"BS";#N/A,#N/A,FALSE,"IS";#N/A,#N/A,FALSE,"CFS";#N/A,#N/A,FALSE,"Ratios"}</definedName>
    <definedName name="wrn.Short._.Print._1" localSheetId="3" hidden="1">{#N/A,#N/A,FALSE,"Summary";#N/A,#N/A,FALSE,"Returns";#N/A,#N/A,FALSE,"Opening BS";#N/A,#N/A,FALSE,"EMO";#N/A,#N/A,FALSE,"BS";#N/A,#N/A,FALSE,"IS";#N/A,#N/A,FALSE,"CFS";#N/A,#N/A,FALSE,"Ratios"}</definedName>
    <definedName name="wrn.Short._.Print._1" hidden="1">{#N/A,#N/A,FALSE,"Summary";#N/A,#N/A,FALSE,"Returns";#N/A,#N/A,FALSE,"Opening BS";#N/A,#N/A,FALSE,"EMO";#N/A,#N/A,FALSE,"BS";#N/A,#N/A,FALSE,"IS";#N/A,#N/A,FALSE,"CFS";#N/A,#N/A,FALSE,"Ratios"}</definedName>
    <definedName name="wrn.short._.print1" localSheetId="6" hidden="1">{#N/A,#N/A,FALSE,"Summary";#N/A,#N/A,FALSE,"Returns";#N/A,#N/A,FALSE,"Opening BS";#N/A,#N/A,FALSE,"EMO";#N/A,#N/A,FALSE,"BS";#N/A,#N/A,FALSE,"IS";#N/A,#N/A,FALSE,"CFS";#N/A,#N/A,FALSE,"Ratios"}</definedName>
    <definedName name="wrn.short._.print1" localSheetId="5" hidden="1">{#N/A,#N/A,FALSE,"Summary";#N/A,#N/A,FALSE,"Returns";#N/A,#N/A,FALSE,"Opening BS";#N/A,#N/A,FALSE,"EMO";#N/A,#N/A,FALSE,"BS";#N/A,#N/A,FALSE,"IS";#N/A,#N/A,FALSE,"CFS";#N/A,#N/A,FALSE,"Ratios"}</definedName>
    <definedName name="wrn.short._.print1" localSheetId="4" hidden="1">{#N/A,#N/A,FALSE,"Summary";#N/A,#N/A,FALSE,"Returns";#N/A,#N/A,FALSE,"Opening BS";#N/A,#N/A,FALSE,"EMO";#N/A,#N/A,FALSE,"BS";#N/A,#N/A,FALSE,"IS";#N/A,#N/A,FALSE,"CFS";#N/A,#N/A,FALSE,"Ratios"}</definedName>
    <definedName name="wrn.short._.print1" localSheetId="3" hidden="1">{#N/A,#N/A,FALSE,"Summary";#N/A,#N/A,FALSE,"Returns";#N/A,#N/A,FALSE,"Opening BS";#N/A,#N/A,FALSE,"EMO";#N/A,#N/A,FALSE,"BS";#N/A,#N/A,FALSE,"IS";#N/A,#N/A,FALSE,"CFS";#N/A,#N/A,FALSE,"Ratios"}</definedName>
    <definedName name="wrn.short._.print1" hidden="1">{#N/A,#N/A,FALSE,"Summary";#N/A,#N/A,FALSE,"Returns";#N/A,#N/A,FALSE,"Opening BS";#N/A,#N/A,FALSE,"EMO";#N/A,#N/A,FALSE,"BS";#N/A,#N/A,FALSE,"IS";#N/A,#N/A,FALSE,"CFS";#N/A,#N/A,FALSE,"Ratios"}</definedName>
    <definedName name="wrn.short._.print1_1" localSheetId="6" hidden="1">{#N/A,#N/A,FALSE,"Summary";#N/A,#N/A,FALSE,"Returns";#N/A,#N/A,FALSE,"Opening BS";#N/A,#N/A,FALSE,"EMO";#N/A,#N/A,FALSE,"BS";#N/A,#N/A,FALSE,"IS";#N/A,#N/A,FALSE,"CFS";#N/A,#N/A,FALSE,"Ratios"}</definedName>
    <definedName name="wrn.short._.print1_1" localSheetId="5" hidden="1">{#N/A,#N/A,FALSE,"Summary";#N/A,#N/A,FALSE,"Returns";#N/A,#N/A,FALSE,"Opening BS";#N/A,#N/A,FALSE,"EMO";#N/A,#N/A,FALSE,"BS";#N/A,#N/A,FALSE,"IS";#N/A,#N/A,FALSE,"CFS";#N/A,#N/A,FALSE,"Ratios"}</definedName>
    <definedName name="wrn.short._.print1_1" localSheetId="4" hidden="1">{#N/A,#N/A,FALSE,"Summary";#N/A,#N/A,FALSE,"Returns";#N/A,#N/A,FALSE,"Opening BS";#N/A,#N/A,FALSE,"EMO";#N/A,#N/A,FALSE,"BS";#N/A,#N/A,FALSE,"IS";#N/A,#N/A,FALSE,"CFS";#N/A,#N/A,FALSE,"Ratios"}</definedName>
    <definedName name="wrn.short._.print1_1" localSheetId="3" hidden="1">{#N/A,#N/A,FALSE,"Summary";#N/A,#N/A,FALSE,"Returns";#N/A,#N/A,FALSE,"Opening BS";#N/A,#N/A,FALSE,"EMO";#N/A,#N/A,FALSE,"BS";#N/A,#N/A,FALSE,"IS";#N/A,#N/A,FALSE,"CFS";#N/A,#N/A,FALSE,"Ratios"}</definedName>
    <definedName name="wrn.short._.print1_1" hidden="1">{#N/A,#N/A,FALSE,"Summary";#N/A,#N/A,FALSE,"Returns";#N/A,#N/A,FALSE,"Opening BS";#N/A,#N/A,FALSE,"EMO";#N/A,#N/A,FALSE,"BS";#N/A,#N/A,FALSE,"IS";#N/A,#N/A,FALSE,"CFS";#N/A,#N/A,FALSE,"Ratios"}</definedName>
    <definedName name="wrn.SKSCS1." localSheetId="6" hidden="1">{#N/A,#N/A,FALSE,"Antony Financials";#N/A,#N/A,FALSE,"Cowboy Financials";#N/A,#N/A,FALSE,"Combined";#N/A,#N/A,FALSE,"Valuematrix";#N/A,#N/A,FALSE,"DCFAntony";#N/A,#N/A,FALSE,"DCFCowboy";#N/A,#N/A,FALSE,"DCFCombined"}</definedName>
    <definedName name="wrn.SKSCS1." localSheetId="5" hidden="1">{#N/A,#N/A,FALSE,"Antony Financials";#N/A,#N/A,FALSE,"Cowboy Financials";#N/A,#N/A,FALSE,"Combined";#N/A,#N/A,FALSE,"Valuematrix";#N/A,#N/A,FALSE,"DCFAntony";#N/A,#N/A,FALSE,"DCFCowboy";#N/A,#N/A,FALSE,"DCFCombined"}</definedName>
    <definedName name="wrn.SKSCS1." localSheetId="4" hidden="1">{#N/A,#N/A,FALSE,"Antony Financials";#N/A,#N/A,FALSE,"Cowboy Financials";#N/A,#N/A,FALSE,"Combined";#N/A,#N/A,FALSE,"Valuematrix";#N/A,#N/A,FALSE,"DCFAntony";#N/A,#N/A,FALSE,"DCFCowboy";#N/A,#N/A,FALSE,"DCFCombined"}</definedName>
    <definedName name="wrn.SKSCS1." localSheetId="3" hidden="1">{#N/A,#N/A,FALSE,"Antony Financials";#N/A,#N/A,FALSE,"Cowboy Financials";#N/A,#N/A,FALSE,"Combined";#N/A,#N/A,FALSE,"Valuematrix";#N/A,#N/A,FALSE,"DCFAntony";#N/A,#N/A,FALSE,"DCFCowboy";#N/A,#N/A,FALSE,"DCFCombined"}</definedName>
    <definedName name="wrn.SKSCS1.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" localSheetId="6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" localSheetId="5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" localSheetId="4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" localSheetId="3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" hidden="1">{#N/A,#N/A,FALSE,"Antony Financials";#N/A,#N/A,FALSE,"Cowboy Financials";#N/A,#N/A,FALSE,"Combined";#N/A,#N/A,FALSE,"Valuematrix";#N/A,#N/A,FALSE,"DCFAntony";#N/A,#N/A,FALSE,"DCFCowboy";#N/A,#N/A,FALSE,"DCFCombined"}</definedName>
    <definedName name="wrn.summary._.schedules." localSheetId="6" hidden="1">{"summary1",#N/A,FALSE,"Summary of Values";"summary2",#N/A,FALSE,"Summary of Values"}</definedName>
    <definedName name="wrn.summary._.schedules." localSheetId="5" hidden="1">{"summary1",#N/A,FALSE,"Summary of Values";"summary2",#N/A,FALSE,"Summary of Values"}</definedName>
    <definedName name="wrn.summary._.schedules." localSheetId="4" hidden="1">{"summary1",#N/A,FALSE,"Summary of Values";"summary2",#N/A,FALSE,"Summary of Values"}</definedName>
    <definedName name="wrn.summary._.schedules." localSheetId="3" hidden="1">{"summary1",#N/A,FALSE,"Summary of Values";"summary2",#N/A,FALSE,"Summary of Values"}</definedName>
    <definedName name="wrn.summary._.schedules." hidden="1">{"summary1",#N/A,FALSE,"Summary of Values";"summary2",#N/A,FALSE,"Summary of Values"}</definedName>
    <definedName name="wrn.summary._.schedules._1" localSheetId="6" hidden="1">{"summary1",#N/A,FALSE,"Summary of Values";"summary2",#N/A,FALSE,"Summary of Values"}</definedName>
    <definedName name="wrn.summary._.schedules._1" localSheetId="5" hidden="1">{"summary1",#N/A,FALSE,"Summary of Values";"summary2",#N/A,FALSE,"Summary of Values"}</definedName>
    <definedName name="wrn.summary._.schedules._1" localSheetId="4" hidden="1">{"summary1",#N/A,FALSE,"Summary of Values";"summary2",#N/A,FALSE,"Summary of Values"}</definedName>
    <definedName name="wrn.summary._.schedules._1" localSheetId="3" hidden="1">{"summary1",#N/A,FALSE,"Summary of Values";"summary2",#N/A,FALSE,"Summary of Values"}</definedName>
    <definedName name="wrn.summary._.schedules._1" hidden="1">{"summary1",#N/A,FALSE,"Summary of Values";"summary2",#N/A,FALSE,"Summary of Values"}</definedName>
    <definedName name="wrn.SummaryPgs." localSheetId="6" hidden="1">{#N/A,#N/A,FALSE,"CreditStat";#N/A,#N/A,FALSE,"SPbrkup";#N/A,#N/A,FALSE,"MerSPsyn";#N/A,#N/A,FALSE,"MerSPwKCsyn";#N/A,#N/A,FALSE,"MerSPwKCsyn (2)";#N/A,#N/A,FALSE,"CreditStat (2)"}</definedName>
    <definedName name="wrn.SummaryPgs." localSheetId="5" hidden="1">{#N/A,#N/A,FALSE,"CreditStat";#N/A,#N/A,FALSE,"SPbrkup";#N/A,#N/A,FALSE,"MerSPsyn";#N/A,#N/A,FALSE,"MerSPwKCsyn";#N/A,#N/A,FALSE,"MerSPwKCsyn (2)";#N/A,#N/A,FALSE,"CreditStat (2)"}</definedName>
    <definedName name="wrn.SummaryPgs." localSheetId="4" hidden="1">{#N/A,#N/A,FALSE,"CreditStat";#N/A,#N/A,FALSE,"SPbrkup";#N/A,#N/A,FALSE,"MerSPsyn";#N/A,#N/A,FALSE,"MerSPwKCsyn";#N/A,#N/A,FALSE,"MerSPwKCsyn (2)";#N/A,#N/A,FALSE,"CreditStat (2)"}</definedName>
    <definedName name="wrn.SummaryPgs." localSheetId="3" hidden="1">{#N/A,#N/A,FALSE,"CreditStat";#N/A,#N/A,FALSE,"SPbrkup";#N/A,#N/A,FALSE,"MerSPsyn";#N/A,#N/A,FALSE,"MerSPwKCsyn";#N/A,#N/A,FALSE,"MerSPwKCsyn (2)";#N/A,#N/A,FALSE,"CreditStat (2)"}</definedName>
    <definedName name="wrn.SummaryPgs." hidden="1">{#N/A,#N/A,FALSE,"CreditStat";#N/A,#N/A,FALSE,"SPbrkup";#N/A,#N/A,FALSE,"MerSPsyn";#N/A,#N/A,FALSE,"MerSPwKCsyn";#N/A,#N/A,FALSE,"MerSPwKCsyn (2)";#N/A,#N/A,FALSE,"CreditStat (2)"}</definedName>
    <definedName name="wrn.SummaryPgs._1" localSheetId="6" hidden="1">{#N/A,#N/A,FALSE,"CreditStat";#N/A,#N/A,FALSE,"SPbrkup";#N/A,#N/A,FALSE,"MerSPsyn";#N/A,#N/A,FALSE,"MerSPwKCsyn";#N/A,#N/A,FALSE,"MerSPwKCsyn (2)";#N/A,#N/A,FALSE,"CreditStat (2)"}</definedName>
    <definedName name="wrn.SummaryPgs._1" localSheetId="5" hidden="1">{#N/A,#N/A,FALSE,"CreditStat";#N/A,#N/A,FALSE,"SPbrkup";#N/A,#N/A,FALSE,"MerSPsyn";#N/A,#N/A,FALSE,"MerSPwKCsyn";#N/A,#N/A,FALSE,"MerSPwKCsyn (2)";#N/A,#N/A,FALSE,"CreditStat (2)"}</definedName>
    <definedName name="wrn.SummaryPgs._1" localSheetId="4" hidden="1">{#N/A,#N/A,FALSE,"CreditStat";#N/A,#N/A,FALSE,"SPbrkup";#N/A,#N/A,FALSE,"MerSPsyn";#N/A,#N/A,FALSE,"MerSPwKCsyn";#N/A,#N/A,FALSE,"MerSPwKCsyn (2)";#N/A,#N/A,FALSE,"CreditStat (2)"}</definedName>
    <definedName name="wrn.SummaryPgs._1" localSheetId="3" hidden="1">{#N/A,#N/A,FALSE,"CreditStat";#N/A,#N/A,FALSE,"SPbrkup";#N/A,#N/A,FALSE,"MerSPsyn";#N/A,#N/A,FALSE,"MerSPwKCsyn";#N/A,#N/A,FALSE,"MerSPwKCsyn (2)";#N/A,#N/A,FALSE,"CreditStat (2)"}</definedName>
    <definedName name="wrn.SummaryPgs._1" hidden="1">{#N/A,#N/A,FALSE,"CreditStat";#N/A,#N/A,FALSE,"SPbrkup";#N/A,#N/A,FALSE,"MerSPsyn";#N/A,#N/A,FALSE,"MerSPwKCsyn";#N/A,#N/A,FALSE,"MerSPwKCsyn (2)";#N/A,#N/A,FALSE,"CreditStat (2)"}</definedName>
    <definedName name="wrn.technology." localSheetId="6" hidden="1">{"developed valuation",#N/A,FALSE,"Valuation Analysis";"developed income statement",#N/A,FALSE,"Abbreviated Income Statement";"inprocess valuation",#N/A,FALSE,"Valuation Analysis";"inprocess income statement",#N/A,FALSE,"Abbreviated Income Statement"}</definedName>
    <definedName name="wrn.technology." localSheetId="5" hidden="1">{"developed valuation",#N/A,FALSE,"Valuation Analysis";"developed income statement",#N/A,FALSE,"Abbreviated Income Statement";"inprocess valuation",#N/A,FALSE,"Valuation Analysis";"inprocess income statement",#N/A,FALSE,"Abbreviated Income Statement"}</definedName>
    <definedName name="wrn.technology." localSheetId="4" hidden="1">{"developed valuation",#N/A,FALSE,"Valuation Analysis";"developed income statement",#N/A,FALSE,"Abbreviated Income Statement";"inprocess valuation",#N/A,FALSE,"Valuation Analysis";"inprocess income statement",#N/A,FALSE,"Abbreviated Income Statement"}</definedName>
    <definedName name="wrn.technology." localSheetId="3" hidden="1">{"developed valuation",#N/A,FALSE,"Valuation Analysis";"developed income statement",#N/A,FALSE,"Abbreviated Income Statement";"inprocess valuation",#N/A,FALSE,"Valuation Analysis";"inprocess income statement",#N/A,FALSE,"Abbreviated Income Statement"}</definedName>
    <definedName name="wrn.technology." hidden="1">{"developed valuation",#N/A,FALSE,"Valuation Analysis";"developed income statement",#N/A,FALSE,"Abbreviated Income Statement";"inprocess valuation",#N/A,FALSE,"Valuation Analysis";"inprocess income statement",#N/A,FALSE,"Abbreviated Income Statement"}</definedName>
    <definedName name="wrn.technology._1" localSheetId="6" hidden="1">{"developed valuation",#N/A,FALSE,"Valuation Analysis";"developed income statement",#N/A,FALSE,"Abbreviated Income Statement";"inprocess valuation",#N/A,FALSE,"Valuation Analysis";"inprocess income statement",#N/A,FALSE,"Abbreviated Income Statement"}</definedName>
    <definedName name="wrn.technology._1" localSheetId="5" hidden="1">{"developed valuation",#N/A,FALSE,"Valuation Analysis";"developed income statement",#N/A,FALSE,"Abbreviated Income Statement";"inprocess valuation",#N/A,FALSE,"Valuation Analysis";"inprocess income statement",#N/A,FALSE,"Abbreviated Income Statement"}</definedName>
    <definedName name="wrn.technology._1" localSheetId="4" hidden="1">{"developed valuation",#N/A,FALSE,"Valuation Analysis";"developed income statement",#N/A,FALSE,"Abbreviated Income Statement";"inprocess valuation",#N/A,FALSE,"Valuation Analysis";"inprocess income statement",#N/A,FALSE,"Abbreviated Income Statement"}</definedName>
    <definedName name="wrn.technology._1" localSheetId="3" hidden="1">{"developed valuation",#N/A,FALSE,"Valuation Analysis";"developed income statement",#N/A,FALSE,"Abbreviated Income Statement";"inprocess valuation",#N/A,FALSE,"Valuation Analysis";"inprocess income statement",#N/A,FALSE,"Abbreviated Income Statement"}</definedName>
    <definedName name="wrn.technology._1" hidden="1">{"developed valuation",#N/A,FALSE,"Valuation Analysis";"developed income statement",#N/A,FALSE,"Abbreviated Income Statement";"inprocess valuation",#N/A,FALSE,"Valuation Analysis";"inprocess income statement",#N/A,FALSE,"Abbreviated Income Statement"}</definedName>
    <definedName name="wrn.test." localSheetId="6" hidden="1">{"test2",#N/A,TRUE,"Prices"}</definedName>
    <definedName name="wrn.test." localSheetId="5" hidden="1">{"test2",#N/A,TRUE,"Prices"}</definedName>
    <definedName name="wrn.test." localSheetId="4" hidden="1">{"test2",#N/A,TRUE,"Prices"}</definedName>
    <definedName name="wrn.test." localSheetId="3" hidden="1">{"test2",#N/A,TRUE,"Prices"}</definedName>
    <definedName name="wrn.test." hidden="1">{"test2",#N/A,TRUE,"Prices"}</definedName>
    <definedName name="wrn.test._1" localSheetId="6" hidden="1">{"test2",#N/A,TRUE,"Prices"}</definedName>
    <definedName name="wrn.test._1" localSheetId="5" hidden="1">{"test2",#N/A,TRUE,"Prices"}</definedName>
    <definedName name="wrn.test._1" localSheetId="4" hidden="1">{"test2",#N/A,TRUE,"Prices"}</definedName>
    <definedName name="wrn.test._1" localSheetId="3" hidden="1">{"test2",#N/A,TRUE,"Prices"}</definedName>
    <definedName name="wrn.test._1" hidden="1">{"test2",#N/A,TRUE,"Prices"}</definedName>
    <definedName name="wrn.TestRep." localSheetId="6" hidden="1">{"Test",#N/A,FALSE,"Index";#N/A,"RISK",FALSE,"MarketProjection"}</definedName>
    <definedName name="wrn.TestRep." localSheetId="5" hidden="1">{"Test",#N/A,FALSE,"Index";#N/A,"RISK",FALSE,"MarketProjection"}</definedName>
    <definedName name="wrn.TestRep." localSheetId="4" hidden="1">{"Test",#N/A,FALSE,"Index";#N/A,"RISK",FALSE,"MarketProjection"}</definedName>
    <definedName name="wrn.TestRep." localSheetId="3" hidden="1">{"Test",#N/A,FALSE,"Index";#N/A,"RISK",FALSE,"MarketProjection"}</definedName>
    <definedName name="wrn.TestRep." hidden="1">{"Test",#N/A,FALSE,"Index";#N/A,"RISK",FALSE,"MarketProjection"}</definedName>
    <definedName name="wrn.TestRep._1" localSheetId="6" hidden="1">{"Test",#N/A,FALSE,"Index";#N/A,"RISK",FALSE,"MarketProjection"}</definedName>
    <definedName name="wrn.TestRep._1" localSheetId="5" hidden="1">{"Test",#N/A,FALSE,"Index";#N/A,"RISK",FALSE,"MarketProjection"}</definedName>
    <definedName name="wrn.TestRep._1" localSheetId="4" hidden="1">{"Test",#N/A,FALSE,"Index";#N/A,"RISK",FALSE,"MarketProjection"}</definedName>
    <definedName name="wrn.TestRep._1" localSheetId="3" hidden="1">{"Test",#N/A,FALSE,"Index";#N/A,"RISK",FALSE,"MarketProjection"}</definedName>
    <definedName name="wrn.TestRep._1" hidden="1">{"Test",#N/A,FALSE,"Index";#N/A,"RISK",FALSE,"MarketProjection"}</definedName>
    <definedName name="wrn.trademark._.and._.trade._.name." localSheetId="6" hidden="1">{"trademark1",#N/A,FALSE,"Trademark(s) and Trade Name(s)"}</definedName>
    <definedName name="wrn.trademark._.and._.trade._.name." localSheetId="5" hidden="1">{"trademark1",#N/A,FALSE,"Trademark(s) and Trade Name(s)"}</definedName>
    <definedName name="wrn.trademark._.and._.trade._.name." localSheetId="4" hidden="1">{"trademark1",#N/A,FALSE,"Trademark(s) and Trade Name(s)"}</definedName>
    <definedName name="wrn.trademark._.and._.trade._.name." localSheetId="3" hidden="1">{"trademark1",#N/A,FALSE,"Trademark(s) and Trade Name(s)"}</definedName>
    <definedName name="wrn.trademark._.and._.trade._.name." hidden="1">{"trademark1",#N/A,FALSE,"Trademark(s) and Trade Name(s)"}</definedName>
    <definedName name="wrn.trademark._.and._.trade._.name._1" localSheetId="6" hidden="1">{"trademark1",#N/A,FALSE,"Trademark(s) and Trade Name(s)"}</definedName>
    <definedName name="wrn.trademark._.and._.trade._.name._1" localSheetId="5" hidden="1">{"trademark1",#N/A,FALSE,"Trademark(s) and Trade Name(s)"}</definedName>
    <definedName name="wrn.trademark._.and._.trade._.name._1" localSheetId="4" hidden="1">{"trademark1",#N/A,FALSE,"Trademark(s) and Trade Name(s)"}</definedName>
    <definedName name="wrn.trademark._.and._.trade._.name._1" localSheetId="3" hidden="1">{"trademark1",#N/A,FALSE,"Trademark(s) and Trade Name(s)"}</definedName>
    <definedName name="wrn.trademark._.and._.trade._.name._1" hidden="1">{"trademark1",#N/A,FALSE,"Trademark(s) and Trade Name(s)"}</definedName>
    <definedName name="wrn.Tweety." localSheetId="6" hidden="1">{#N/A,#N/A,FALSE,"A&amp;E";#N/A,#N/A,FALSE,"HighTop";#N/A,#N/A,FALSE,"JG";#N/A,#N/A,FALSE,"RI";#N/A,#N/A,FALSE,"woHT";#N/A,#N/A,FALSE,"woHT&amp;JG"}</definedName>
    <definedName name="wrn.Tweety." localSheetId="5" hidden="1">{#N/A,#N/A,FALSE,"A&amp;E";#N/A,#N/A,FALSE,"HighTop";#N/A,#N/A,FALSE,"JG";#N/A,#N/A,FALSE,"RI";#N/A,#N/A,FALSE,"woHT";#N/A,#N/A,FALSE,"woHT&amp;JG"}</definedName>
    <definedName name="wrn.Tweety." localSheetId="4" hidden="1">{#N/A,#N/A,FALSE,"A&amp;E";#N/A,#N/A,FALSE,"HighTop";#N/A,#N/A,FALSE,"JG";#N/A,#N/A,FALSE,"RI";#N/A,#N/A,FALSE,"woHT";#N/A,#N/A,FALSE,"woHT&amp;JG"}</definedName>
    <definedName name="wrn.Tweety." localSheetId="3" hidden="1">{#N/A,#N/A,FALSE,"A&amp;E";#N/A,#N/A,FALSE,"HighTop";#N/A,#N/A,FALSE,"JG";#N/A,#N/A,FALSE,"RI";#N/A,#N/A,FALSE,"woHT";#N/A,#N/A,FALSE,"woHT&amp;JG"}</definedName>
    <definedName name="wrn.Tweety." hidden="1">{#N/A,#N/A,FALSE,"A&amp;E";#N/A,#N/A,FALSE,"HighTop";#N/A,#N/A,FALSE,"JG";#N/A,#N/A,FALSE,"RI";#N/A,#N/A,FALSE,"woHT";#N/A,#N/A,FALSE,"woHT&amp;JG"}</definedName>
    <definedName name="wrn.Tweety._1" localSheetId="6" hidden="1">{#N/A,#N/A,FALSE,"A&amp;E";#N/A,#N/A,FALSE,"HighTop";#N/A,#N/A,FALSE,"JG";#N/A,#N/A,FALSE,"RI";#N/A,#N/A,FALSE,"woHT";#N/A,#N/A,FALSE,"woHT&amp;JG"}</definedName>
    <definedName name="wrn.Tweety._1" localSheetId="5" hidden="1">{#N/A,#N/A,FALSE,"A&amp;E";#N/A,#N/A,FALSE,"HighTop";#N/A,#N/A,FALSE,"JG";#N/A,#N/A,FALSE,"RI";#N/A,#N/A,FALSE,"woHT";#N/A,#N/A,FALSE,"woHT&amp;JG"}</definedName>
    <definedName name="wrn.Tweety._1" localSheetId="4" hidden="1">{#N/A,#N/A,FALSE,"A&amp;E";#N/A,#N/A,FALSE,"HighTop";#N/A,#N/A,FALSE,"JG";#N/A,#N/A,FALSE,"RI";#N/A,#N/A,FALSE,"woHT";#N/A,#N/A,FALSE,"woHT&amp;JG"}</definedName>
    <definedName name="wrn.Tweety._1" localSheetId="3" hidden="1">{#N/A,#N/A,FALSE,"A&amp;E";#N/A,#N/A,FALSE,"HighTop";#N/A,#N/A,FALSE,"JG";#N/A,#N/A,FALSE,"RI";#N/A,#N/A,FALSE,"woHT";#N/A,#N/A,FALSE,"woHT&amp;JG"}</definedName>
    <definedName name="wrn.Tweety._1" hidden="1">{#N/A,#N/A,FALSE,"A&amp;E";#N/A,#N/A,FALSE,"HighTop";#N/A,#N/A,FALSE,"JG";#N/A,#N/A,FALSE,"RI";#N/A,#N/A,FALSE,"woHT";#N/A,#N/A,FALSE,"woHT&amp;JG"}</definedName>
    <definedName name="wrn.Valuation._.Package._.1." localSheetId="6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" localSheetId="5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" localSheetId="4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" localSheetId="3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_1" localSheetId="6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_1" localSheetId="5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_1" localSheetId="4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_1" localSheetId="3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whole._.document." localSheetId="6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" localSheetId="5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" localSheetId="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" localSheetId="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_1" localSheetId="6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_1" localSheetId="5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_1" localSheetId="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_1" localSheetId="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Shabang." localSheetId="6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" localSheetId="5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" localSheetId="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" localSheetId="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_1" localSheetId="6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_1" localSheetId="5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_1" localSheetId="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_1" localSheetId="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ork._.paper._.shcedules." localSheetId="6" hidden="1">{"summary1",#N/A,FALSE,"Summary of Values";"summary2",#N/A,FALSE,"Summary of Values";"weighted average returns",#N/A,FALSE,"WACC and WARA";"fixed asset detail",#N/A,FALSE,"Fixed Asset Detail"}</definedName>
    <definedName name="wrn.work._.paper._.shcedules." localSheetId="5" hidden="1">{"summary1",#N/A,FALSE,"Summary of Values";"summary2",#N/A,FALSE,"Summary of Values";"weighted average returns",#N/A,FALSE,"WACC and WARA";"fixed asset detail",#N/A,FALSE,"Fixed Asset Detail"}</definedName>
    <definedName name="wrn.work._.paper._.shcedules." localSheetId="4" hidden="1">{"summary1",#N/A,FALSE,"Summary of Values";"summary2",#N/A,FALSE,"Summary of Values";"weighted average returns",#N/A,FALSE,"WACC and WARA";"fixed asset detail",#N/A,FALSE,"Fixed Asset Detail"}</definedName>
    <definedName name="wrn.work._.paper._.shcedules." localSheetId="3" hidden="1">{"summary1",#N/A,FALSE,"Summary of Values";"summary2",#N/A,FALSE,"Summary of Values";"weighted average returns",#N/A,FALSE,"WACC and WARA";"fixed asset detail",#N/A,FALSE,"Fixed Asset Detail"}</definedName>
    <definedName name="wrn.work._.paper._.shcedules." hidden="1">{"summary1",#N/A,FALSE,"Summary of Values";"summary2",#N/A,FALSE,"Summary of Values";"weighted average returns",#N/A,FALSE,"WACC and WARA";"fixed asset detail",#N/A,FALSE,"Fixed Asset Detail"}</definedName>
    <definedName name="wrn.work._.paper._.shcedules._1" localSheetId="6" hidden="1">{"summary1",#N/A,FALSE,"Summary of Values";"summary2",#N/A,FALSE,"Summary of Values";"weighted average returns",#N/A,FALSE,"WACC and WARA";"fixed asset detail",#N/A,FALSE,"Fixed Asset Detail"}</definedName>
    <definedName name="wrn.work._.paper._.shcedules._1" localSheetId="5" hidden="1">{"summary1",#N/A,FALSE,"Summary of Values";"summary2",#N/A,FALSE,"Summary of Values";"weighted average returns",#N/A,FALSE,"WACC and WARA";"fixed asset detail",#N/A,FALSE,"Fixed Asset Detail"}</definedName>
    <definedName name="wrn.work._.paper._.shcedules._1" localSheetId="4" hidden="1">{"summary1",#N/A,FALSE,"Summary of Values";"summary2",#N/A,FALSE,"Summary of Values";"weighted average returns",#N/A,FALSE,"WACC and WARA";"fixed asset detail",#N/A,FALSE,"Fixed Asset Detail"}</definedName>
    <definedName name="wrn.work._.paper._.shcedules._1" localSheetId="3" hidden="1">{"summary1",#N/A,FALSE,"Summary of Values";"summary2",#N/A,FALSE,"Summary of Values";"weighted average returns",#N/A,FALSE,"WACC and WARA";"fixed asset detail",#N/A,FALSE,"Fixed Asset Detail"}</definedName>
    <definedName name="wrn.work._.paper._.shcedules._1" hidden="1">{"summary1",#N/A,FALSE,"Summary of Values";"summary2",#N/A,FALSE,"Summary of Values";"weighted average returns",#N/A,FALSE,"WACC and WARA";"fixed asset detail",#N/A,FALSE,"Fixed Asset Detail"}</definedName>
    <definedName name="wrn.מאזן_בוחן_כללי." localSheetId="6" hidden="1">{#N/A,#N/A,FALSE,"מאזן בוחן";"כל_מאזן_בוחן",#N/A,FALSE,"מאזן בוחן"}</definedName>
    <definedName name="wrn.מאזן_בוחן_כללי." localSheetId="5" hidden="1">{#N/A,#N/A,FALSE,"מאזן בוחן";"כל_מאזן_בוחן",#N/A,FALSE,"מאזן בוחן"}</definedName>
    <definedName name="wrn.מאזן_בוחן_כללי." localSheetId="4" hidden="1">{#N/A,#N/A,FALSE,"מאזן בוחן";"כל_מאזן_בוחן",#N/A,FALSE,"מאזן בוחן"}</definedName>
    <definedName name="wrn.מאזן_בוחן_כללי." localSheetId="3" hidden="1">{#N/A,#N/A,FALSE,"מאזן בוחן";"כל_מאזן_בוחן",#N/A,FALSE,"מאזן בוחן"}</definedName>
    <definedName name="wrn.מאזן_בוחן_כללי." hidden="1">{#N/A,#N/A,FALSE,"מאזן בוחן";"כל_מאזן_בוחן",#N/A,FALSE,"מאזן בוחן"}</definedName>
    <definedName name="wrn.מאזן_בוחן_כללי._1" localSheetId="6" hidden="1">{#N/A,#N/A,FALSE,"מאזן בוחן";"כל_מאזן_בוחן",#N/A,FALSE,"מאזן בוחן"}</definedName>
    <definedName name="wrn.מאזן_בוחן_כללי._1" localSheetId="5" hidden="1">{#N/A,#N/A,FALSE,"מאזן בוחן";"כל_מאזן_בוחן",#N/A,FALSE,"מאזן בוחן"}</definedName>
    <definedName name="wrn.מאזן_בוחן_כללי._1" localSheetId="4" hidden="1">{#N/A,#N/A,FALSE,"מאזן בוחן";"כל_מאזן_בוחן",#N/A,FALSE,"מאזן בוחן"}</definedName>
    <definedName name="wrn.מאזן_בוחן_כללי._1" localSheetId="3" hidden="1">{#N/A,#N/A,FALSE,"מאזן בוחן";"כל_מאזן_בוחן",#N/A,FALSE,"מאזן בוחן"}</definedName>
    <definedName name="wrn.מאזן_בוחן_כללי._1" hidden="1">{#N/A,#N/A,FALSE,"מאזן בוחן";"כל_מאזן_בוחן",#N/A,FALSE,"מאזן בוחן"}</definedName>
    <definedName name="wrn.סעיפי_מאזן_בוחן." localSheetId="6" hidden="1">{"מזומנים",#N/A,FALSE,"מאזן בוחן";"חיבים_ויתרות_חובה",#N/A,FALSE,"מאזן בוחן";"רכוש_קבוע",#N/A,FALSE,"מאזן בוחן";"השקעה_זק",#N/A,FALSE,"מאזן בוחן";"השקעה_במוחזקות",#N/A,FALSE,"מאזן בוחן";"השקעה_אחרות",#N/A,FALSE,"מאזן בוחן";"זכאים_ויתרות_זכות",#N/A,FALSE,"מאזן בוחן";"הלוואות_בעמנ_ובנקים",#N/A,FALSE,"מאזן בוחן";"עתודה_לפצויים_והון",#N/A,FALSE,"מאזן בוחן";"הכנסות",#N/A,FALSE,"מאזן בוחן";"הוצאות_הנהלה_וכלליות",#N/A,FALSE,"מאזן בוחן";"הוצאות_מימון",#N/A,FALSE,"מאזן בוחן";"אקוויטי_ובדיקת_השקעו",#N/A,FALSE,"מאזן בוחן"}</definedName>
    <definedName name="wrn.סעיפי_מאזן_בוחן." localSheetId="5" hidden="1">{"מזומנים",#N/A,FALSE,"מאזן בוחן";"חיבים_ויתרות_חובה",#N/A,FALSE,"מאזן בוחן";"רכוש_קבוע",#N/A,FALSE,"מאזן בוחן";"השקעה_זק",#N/A,FALSE,"מאזן בוחן";"השקעה_במוחזקות",#N/A,FALSE,"מאזן בוחן";"השקעה_אחרות",#N/A,FALSE,"מאזן בוחן";"זכאים_ויתרות_זכות",#N/A,FALSE,"מאזן בוחן";"הלוואות_בעמנ_ובנקים",#N/A,FALSE,"מאזן בוחן";"עתודה_לפצויים_והון",#N/A,FALSE,"מאזן בוחן";"הכנסות",#N/A,FALSE,"מאזן בוחן";"הוצאות_הנהלה_וכלליות",#N/A,FALSE,"מאזן בוחן";"הוצאות_מימון",#N/A,FALSE,"מאזן בוחן";"אקוויטי_ובדיקת_השקעו",#N/A,FALSE,"מאזן בוחן"}</definedName>
    <definedName name="wrn.סעיפי_מאזן_בוחן." localSheetId="4" hidden="1">{"מזומנים",#N/A,FALSE,"מאזן בוחן";"חיבים_ויתרות_חובה",#N/A,FALSE,"מאזן בוחן";"רכוש_קבוע",#N/A,FALSE,"מאזן בוחן";"השקעה_זק",#N/A,FALSE,"מאזן בוחן";"השקעה_במוחזקות",#N/A,FALSE,"מאזן בוחן";"השקעה_אחרות",#N/A,FALSE,"מאזן בוחן";"זכאים_ויתרות_זכות",#N/A,FALSE,"מאזן בוחן";"הלוואות_בעמנ_ובנקים",#N/A,FALSE,"מאזן בוחן";"עתודה_לפצויים_והון",#N/A,FALSE,"מאזן בוחן";"הכנסות",#N/A,FALSE,"מאזן בוחן";"הוצאות_הנהלה_וכלליות",#N/A,FALSE,"מאזן בוחן";"הוצאות_מימון",#N/A,FALSE,"מאזן בוחן";"אקוויטי_ובדיקת_השקעו",#N/A,FALSE,"מאזן בוחן"}</definedName>
    <definedName name="wrn.סעיפי_מאזן_בוחן." localSheetId="3" hidden="1">{"מזומנים",#N/A,FALSE,"מאזן בוחן";"חיבים_ויתרות_חובה",#N/A,FALSE,"מאזן בוחן";"רכוש_קבוע",#N/A,FALSE,"מאזן בוחן";"השקעה_זק",#N/A,FALSE,"מאזן בוחן";"השקעה_במוחזקות",#N/A,FALSE,"מאזן בוחן";"השקעה_אחרות",#N/A,FALSE,"מאזן בוחן";"זכאים_ויתרות_זכות",#N/A,FALSE,"מאזן בוחן";"הלוואות_בעמנ_ובנקים",#N/A,FALSE,"מאזן בוחן";"עתודה_לפצויים_והון",#N/A,FALSE,"מאזן בוחן";"הכנסות",#N/A,FALSE,"מאזן בוחן";"הוצאות_הנהלה_וכלליות",#N/A,FALSE,"מאזן בוחן";"הוצאות_מימון",#N/A,FALSE,"מאזן בוחן";"אקוויטי_ובדיקת_השקעו",#N/A,FALSE,"מאזן בוחן"}</definedName>
    <definedName name="wrn.סעיפי_מאזן_בוחן." hidden="1">{"מזומנים",#N/A,FALSE,"מאזן בוחן";"חיבים_ויתרות_חובה",#N/A,FALSE,"מאזן בוחן";"רכוש_קבוע",#N/A,FALSE,"מאזן בוחן";"השקעה_זק",#N/A,FALSE,"מאזן בוחן";"השקעה_במוחזקות",#N/A,FALSE,"מאזן בוחן";"השקעה_אחרות",#N/A,FALSE,"מאזן בוחן";"זכאים_ויתרות_זכות",#N/A,FALSE,"מאזן בוחן";"הלוואות_בעמנ_ובנקים",#N/A,FALSE,"מאזן בוחן";"עתודה_לפצויים_והון",#N/A,FALSE,"מאזן בוחן";"הכנסות",#N/A,FALSE,"מאזן בוחן";"הוצאות_הנהלה_וכלליות",#N/A,FALSE,"מאזן בוחן";"הוצאות_מימון",#N/A,FALSE,"מאזן בוחן";"אקוויטי_ובדיקת_השקעו",#N/A,FALSE,"מאזן בוחן"}</definedName>
    <definedName name="wrn.סעיפי_מאזן_בוחן._1" localSheetId="6" hidden="1">{"מזומנים",#N/A,FALSE,"מאזן בוחן";"חיבים_ויתרות_חובה",#N/A,FALSE,"מאזן בוחן";"רכוש_קבוע",#N/A,FALSE,"מאזן בוחן";"השקעה_זק",#N/A,FALSE,"מאזן בוחן";"השקעה_במוחזקות",#N/A,FALSE,"מאזן בוחן";"השקעה_אחרות",#N/A,FALSE,"מאזן בוחן";"זכאים_ויתרות_זכות",#N/A,FALSE,"מאזן בוחן";"הלוואות_בעמנ_ובנקים",#N/A,FALSE,"מאזן בוחן";"עתודה_לפצויים_והון",#N/A,FALSE,"מאזן בוחן";"הכנסות",#N/A,FALSE,"מאזן בוחן";"הוצאות_הנהלה_וכלליות",#N/A,FALSE,"מאזן בוחן";"הוצאות_מימון",#N/A,FALSE,"מאזן בוחן";"אקוויטי_ובדיקת_השקעו",#N/A,FALSE,"מאזן בוחן"}</definedName>
    <definedName name="wrn.סעיפי_מאזן_בוחן._1" localSheetId="5" hidden="1">{"מזומנים",#N/A,FALSE,"מאזן בוחן";"חיבים_ויתרות_חובה",#N/A,FALSE,"מאזן בוחן";"רכוש_קבוע",#N/A,FALSE,"מאזן בוחן";"השקעה_זק",#N/A,FALSE,"מאזן בוחן";"השקעה_במוחזקות",#N/A,FALSE,"מאזן בוחן";"השקעה_אחרות",#N/A,FALSE,"מאזן בוחן";"זכאים_ויתרות_זכות",#N/A,FALSE,"מאזן בוחן";"הלוואות_בעמנ_ובנקים",#N/A,FALSE,"מאזן בוחן";"עתודה_לפצויים_והון",#N/A,FALSE,"מאזן בוחן";"הכנסות",#N/A,FALSE,"מאזן בוחן";"הוצאות_הנהלה_וכלליות",#N/A,FALSE,"מאזן בוחן";"הוצאות_מימון",#N/A,FALSE,"מאזן בוחן";"אקוויטי_ובדיקת_השקעו",#N/A,FALSE,"מאזן בוחן"}</definedName>
    <definedName name="wrn.סעיפי_מאזן_בוחן._1" localSheetId="4" hidden="1">{"מזומנים",#N/A,FALSE,"מאזן בוחן";"חיבים_ויתרות_חובה",#N/A,FALSE,"מאזן בוחן";"רכוש_קבוע",#N/A,FALSE,"מאזן בוחן";"השקעה_זק",#N/A,FALSE,"מאזן בוחן";"השקעה_במוחזקות",#N/A,FALSE,"מאזן בוחן";"השקעה_אחרות",#N/A,FALSE,"מאזן בוחן";"זכאים_ויתרות_זכות",#N/A,FALSE,"מאזן בוחן";"הלוואות_בעמנ_ובנקים",#N/A,FALSE,"מאזן בוחן";"עתודה_לפצויים_והון",#N/A,FALSE,"מאזן בוחן";"הכנסות",#N/A,FALSE,"מאזן בוחן";"הוצאות_הנהלה_וכלליות",#N/A,FALSE,"מאזן בוחן";"הוצאות_מימון",#N/A,FALSE,"מאזן בוחן";"אקוויטי_ובדיקת_השקעו",#N/A,FALSE,"מאזן בוחן"}</definedName>
    <definedName name="wrn.סעיפי_מאזן_בוחן._1" localSheetId="3" hidden="1">{"מזומנים",#N/A,FALSE,"מאזן בוחן";"חיבים_ויתרות_חובה",#N/A,FALSE,"מאזן בוחן";"רכוש_קבוע",#N/A,FALSE,"מאזן בוחן";"השקעה_זק",#N/A,FALSE,"מאזן בוחן";"השקעה_במוחזקות",#N/A,FALSE,"מאזן בוחן";"השקעה_אחרות",#N/A,FALSE,"מאזן בוחן";"זכאים_ויתרות_זכות",#N/A,FALSE,"מאזן בוחן";"הלוואות_בעמנ_ובנקים",#N/A,FALSE,"מאזן בוחן";"עתודה_לפצויים_והון",#N/A,FALSE,"מאזן בוחן";"הכנסות",#N/A,FALSE,"מאזן בוחן";"הוצאות_הנהלה_וכלליות",#N/A,FALSE,"מאזן בוחן";"הוצאות_מימון",#N/A,FALSE,"מאזן בוחן";"אקוויטי_ובדיקת_השקעו",#N/A,FALSE,"מאזן בוחן"}</definedName>
    <definedName name="wrn.סעיפי_מאזן_בוחן._1" hidden="1">{"מזומנים",#N/A,FALSE,"מאזן בוחן";"חיבים_ויתרות_חובה",#N/A,FALSE,"מאזן בוחן";"רכוש_קבוע",#N/A,FALSE,"מאזן בוחן";"השקעה_זק",#N/A,FALSE,"מאזן בוחן";"השקעה_במוחזקות",#N/A,FALSE,"מאזן בוחן";"השקעה_אחרות",#N/A,FALSE,"מאזן בוחן";"זכאים_ויתרות_זכות",#N/A,FALSE,"מאזן בוחן";"הלוואות_בעמנ_ובנקים",#N/A,FALSE,"מאזן בוחן";"עתודה_לפצויים_והון",#N/A,FALSE,"מאזן בוחן";"הכנסות",#N/A,FALSE,"מאזן בוחן";"הוצאות_הנהלה_וכלליות",#N/A,FALSE,"מאזן בוחן";"הוצאות_מימון",#N/A,FALSE,"מאזן בוחן";"אקוויטי_ובדיקת_השקעו",#N/A,FALSE,"מאזן בוחן"}</definedName>
    <definedName name="wvu.FRP_BACKLOG1." localSheetId="6" hidden="1">{TRUE,TRUE,4.75,-2,591,327,FALSE,TRUE,TRUE,TRUE,0,1,#N/A,1,#N/A,12.7454545454545,25.0666666666667,1,FALSE,FALSE,1,TRUE,1,FALSE,100,"Swvu.FRP_BACKLOG1.","ACwvu.FRP_BACKLOG1.",#N/A,FALSE,FALSE,1,1,1,0.75,2,"","&amp;L&amp;F&amp;C&amp;A&amp;R&amp;D",FALSE,FALSE,FALSE,FALSE,1,75,#N/A,#N/A,"=R1C1:R61C18","=C1:C4",#N/A,#N/A,FALSE,FALSE,TRUE,1,4294967292,300,FALSE,FALSE,TRUE,TRUE,TRUE}</definedName>
    <definedName name="wvu.FRP_BACKLOG1." localSheetId="5" hidden="1">{TRUE,TRUE,4.75,-2,591,327,FALSE,TRUE,TRUE,TRUE,0,1,#N/A,1,#N/A,12.7454545454545,25.0666666666667,1,FALSE,FALSE,1,TRUE,1,FALSE,100,"Swvu.FRP_BACKLOG1.","ACwvu.FRP_BACKLOG1.",#N/A,FALSE,FALSE,1,1,1,0.75,2,"","&amp;L&amp;F&amp;C&amp;A&amp;R&amp;D",FALSE,FALSE,FALSE,FALSE,1,75,#N/A,#N/A,"=R1C1:R61C18","=C1:C4",#N/A,#N/A,FALSE,FALSE,TRUE,1,4294967292,300,FALSE,FALSE,TRUE,TRUE,TRUE}</definedName>
    <definedName name="wvu.FRP_BACKLOG1." localSheetId="4" hidden="1">{TRUE,TRUE,4.75,-2,591,327,FALSE,TRUE,TRUE,TRUE,0,1,#N/A,1,#N/A,12.7454545454545,25.0666666666667,1,FALSE,FALSE,1,TRUE,1,FALSE,100,"Swvu.FRP_BACKLOG1.","ACwvu.FRP_BACKLOG1.",#N/A,FALSE,FALSE,1,1,1,0.75,2,"","&amp;L&amp;F&amp;C&amp;A&amp;R&amp;D",FALSE,FALSE,FALSE,FALSE,1,75,#N/A,#N/A,"=R1C1:R61C18","=C1:C4",#N/A,#N/A,FALSE,FALSE,TRUE,1,4294967292,300,FALSE,FALSE,TRUE,TRUE,TRUE}</definedName>
    <definedName name="wvu.FRP_BACKLOG1." localSheetId="3" hidden="1">{TRUE,TRUE,4.75,-2,591,327,FALSE,TRUE,TRUE,TRUE,0,1,#N/A,1,#N/A,12.7454545454545,25.0666666666667,1,FALSE,FALSE,1,TRUE,1,FALSE,100,"Swvu.FRP_BACKLOG1.","ACwvu.FRP_BACKLOG1.",#N/A,FALSE,FALSE,1,1,1,0.75,2,"","&amp;L&amp;F&amp;C&amp;A&amp;R&amp;D",FALSE,FALSE,FALSE,FALSE,1,75,#N/A,#N/A,"=R1C1:R61C18","=C1:C4",#N/A,#N/A,FALSE,FALSE,TRUE,1,4294967292,300,FALSE,FALSE,TRUE,TRUE,TRUE}</definedName>
    <definedName name="wvu.FRP_BACKLOG1." hidden="1">{TRUE,TRUE,4.75,-2,591,327,FALSE,TRUE,TRUE,TRUE,0,1,#N/A,1,#N/A,12.7454545454545,25.0666666666667,1,FALSE,FALSE,1,TRUE,1,FALSE,100,"Swvu.FRP_BACKLOG1.","ACwvu.FRP_BACKLOG1.",#N/A,FALSE,FALSE,1,1,1,0.75,2,"","&amp;L&amp;F&amp;C&amp;A&amp;R&amp;D",FALSE,FALSE,FALSE,FALSE,1,75,#N/A,#N/A,"=R1C1:R61C18","=C1:C4",#N/A,#N/A,FALSE,FALSE,TRUE,1,4294967292,300,FALSE,FALSE,TRUE,TRUE,TRUE}</definedName>
    <definedName name="wvu.FRP_BACKLOG1._1" localSheetId="6" hidden="1">{TRUE,TRUE,4.75,-2,591,327,FALSE,TRUE,TRUE,TRUE,0,1,#N/A,1,#N/A,12.7454545454545,25.0666666666667,1,FALSE,FALSE,1,TRUE,1,FALSE,100,"Swvu.FRP_BACKLOG1.","ACwvu.FRP_BACKLOG1.",#N/A,FALSE,FALSE,1,1,1,0.75,2,"","&amp;L&amp;F&amp;C&amp;A&amp;R&amp;D",FALSE,FALSE,FALSE,FALSE,1,75,#N/A,#N/A,"=R1C1:R61C18","=C1:C4",#N/A,#N/A,FALSE,FALSE,TRUE,1,4294967292,300,FALSE,FALSE,TRUE,TRUE,TRUE}</definedName>
    <definedName name="wvu.FRP_BACKLOG1._1" localSheetId="5" hidden="1">{TRUE,TRUE,4.75,-2,591,327,FALSE,TRUE,TRUE,TRUE,0,1,#N/A,1,#N/A,12.7454545454545,25.0666666666667,1,FALSE,FALSE,1,TRUE,1,FALSE,100,"Swvu.FRP_BACKLOG1.","ACwvu.FRP_BACKLOG1.",#N/A,FALSE,FALSE,1,1,1,0.75,2,"","&amp;L&amp;F&amp;C&amp;A&amp;R&amp;D",FALSE,FALSE,FALSE,FALSE,1,75,#N/A,#N/A,"=R1C1:R61C18","=C1:C4",#N/A,#N/A,FALSE,FALSE,TRUE,1,4294967292,300,FALSE,FALSE,TRUE,TRUE,TRUE}</definedName>
    <definedName name="wvu.FRP_BACKLOG1._1" localSheetId="4" hidden="1">{TRUE,TRUE,4.75,-2,591,327,FALSE,TRUE,TRUE,TRUE,0,1,#N/A,1,#N/A,12.7454545454545,25.0666666666667,1,FALSE,FALSE,1,TRUE,1,FALSE,100,"Swvu.FRP_BACKLOG1.","ACwvu.FRP_BACKLOG1.",#N/A,FALSE,FALSE,1,1,1,0.75,2,"","&amp;L&amp;F&amp;C&amp;A&amp;R&amp;D",FALSE,FALSE,FALSE,FALSE,1,75,#N/A,#N/A,"=R1C1:R61C18","=C1:C4",#N/A,#N/A,FALSE,FALSE,TRUE,1,4294967292,300,FALSE,FALSE,TRUE,TRUE,TRUE}</definedName>
    <definedName name="wvu.FRP_BACKLOG1._1" localSheetId="3" hidden="1">{TRUE,TRUE,4.75,-2,591,327,FALSE,TRUE,TRUE,TRUE,0,1,#N/A,1,#N/A,12.7454545454545,25.0666666666667,1,FALSE,FALSE,1,TRUE,1,FALSE,100,"Swvu.FRP_BACKLOG1.","ACwvu.FRP_BACKLOG1.",#N/A,FALSE,FALSE,1,1,1,0.75,2,"","&amp;L&amp;F&amp;C&amp;A&amp;R&amp;D",FALSE,FALSE,FALSE,FALSE,1,75,#N/A,#N/A,"=R1C1:R61C18","=C1:C4",#N/A,#N/A,FALSE,FALSE,TRUE,1,4294967292,300,FALSE,FALSE,TRUE,TRUE,TRUE}</definedName>
    <definedName name="wvu.FRP_BACKLOG1._1" hidden="1">{TRUE,TRUE,4.75,-2,591,327,FALSE,TRUE,TRUE,TRUE,0,1,#N/A,1,#N/A,12.7454545454545,25.0666666666667,1,FALSE,FALSE,1,TRUE,1,FALSE,100,"Swvu.FRP_BACKLOG1.","ACwvu.FRP_BACKLOG1.",#N/A,FALSE,FALSE,1,1,1,0.75,2,"","&amp;L&amp;F&amp;C&amp;A&amp;R&amp;D",FALSE,FALSE,FALSE,FALSE,1,75,#N/A,#N/A,"=R1C1:R61C18","=C1:C4",#N/A,#N/A,FALSE,FALSE,TRUE,1,4294967292,300,FALSE,FALSE,TRUE,TRUE,TRUE}</definedName>
    <definedName name="wvu.FRP_backlog2." localSheetId="6" hidden="1">{TRUE,TRUE,4.75,-2,591,327,FALSE,TRUE,TRUE,TRUE,0,26,#N/A,1,#N/A,13.6909090909091,25.0666666666667,1,FALSE,FALSE,1,TRUE,1,FALSE,100,"Swvu.FRP_backlog2.","ACwvu.FRP_backlog2.",#N/A,FALSE,FALSE,1,1,1,0.75,2,"","&amp;L&amp;F&amp;C&amp;A&amp;R&amp;D",FALSE,FALSE,FALSE,FALSE,1,75,#N/A,#N/A,"=R1C1:R61C33","=C1:C4","Rwvu.FRP_backlog2.",#N/A,FALSE,FALSE,TRUE,1,4294967292,300,FALSE,FALSE,TRUE,TRUE,TRUE}</definedName>
    <definedName name="wvu.FRP_backlog2." localSheetId="5" hidden="1">{TRUE,TRUE,4.75,-2,591,327,FALSE,TRUE,TRUE,TRUE,0,26,#N/A,1,#N/A,13.6909090909091,25.0666666666667,1,FALSE,FALSE,1,TRUE,1,FALSE,100,"Swvu.FRP_backlog2.","ACwvu.FRP_backlog2.",#N/A,FALSE,FALSE,1,1,1,0.75,2,"","&amp;L&amp;F&amp;C&amp;A&amp;R&amp;D",FALSE,FALSE,FALSE,FALSE,1,75,#N/A,#N/A,"=R1C1:R61C33","=C1:C4","Rwvu.FRP_backlog2.",#N/A,FALSE,FALSE,TRUE,1,4294967292,300,FALSE,FALSE,TRUE,TRUE,TRUE}</definedName>
    <definedName name="wvu.FRP_backlog2." localSheetId="4" hidden="1">{TRUE,TRUE,4.75,-2,591,327,FALSE,TRUE,TRUE,TRUE,0,26,#N/A,1,#N/A,13.6909090909091,25.0666666666667,1,FALSE,FALSE,1,TRUE,1,FALSE,100,"Swvu.FRP_backlog2.","ACwvu.FRP_backlog2.",#N/A,FALSE,FALSE,1,1,1,0.75,2,"","&amp;L&amp;F&amp;C&amp;A&amp;R&amp;D",FALSE,FALSE,FALSE,FALSE,1,75,#N/A,#N/A,"=R1C1:R61C33","=C1:C4","Rwvu.FRP_backlog2.",#N/A,FALSE,FALSE,TRUE,1,4294967292,300,FALSE,FALSE,TRUE,TRUE,TRUE}</definedName>
    <definedName name="wvu.FRP_backlog2." localSheetId="3" hidden="1">{TRUE,TRUE,4.75,-2,591,327,FALSE,TRUE,TRUE,TRUE,0,26,#N/A,1,#N/A,13.6909090909091,25.0666666666667,1,FALSE,FALSE,1,TRUE,1,FALSE,100,"Swvu.FRP_backlog2.","ACwvu.FRP_backlog2.",#N/A,FALSE,FALSE,1,1,1,0.75,2,"","&amp;L&amp;F&amp;C&amp;A&amp;R&amp;D",FALSE,FALSE,FALSE,FALSE,1,75,#N/A,#N/A,"=R1C1:R61C33","=C1:C4","Rwvu.FRP_backlog2.",#N/A,FALSE,FALSE,TRUE,1,4294967292,300,FALSE,FALSE,TRUE,TRUE,TRUE}</definedName>
    <definedName name="wvu.FRP_backlog2." hidden="1">{TRUE,TRUE,4.75,-2,591,327,FALSE,TRUE,TRUE,TRUE,0,26,#N/A,1,#N/A,13.6909090909091,25.0666666666667,1,FALSE,FALSE,1,TRUE,1,FALSE,100,"Swvu.FRP_backlog2.","ACwvu.FRP_backlog2.",#N/A,FALSE,FALSE,1,1,1,0.75,2,"","&amp;L&amp;F&amp;C&amp;A&amp;R&amp;D",FALSE,FALSE,FALSE,FALSE,1,75,#N/A,#N/A,"=R1C1:R61C33","=C1:C4","Rwvu.FRP_backlog2.",#N/A,FALSE,FALSE,TRUE,1,4294967292,300,FALSE,FALSE,TRUE,TRUE,TRUE}</definedName>
    <definedName name="wvu.FRP_backlog2._1" localSheetId="6" hidden="1">{TRUE,TRUE,4.75,-2,591,327,FALSE,TRUE,TRUE,TRUE,0,26,#N/A,1,#N/A,13.6909090909091,25.0666666666667,1,FALSE,FALSE,1,TRUE,1,FALSE,100,"Swvu.FRP_backlog2.","ACwvu.FRP_backlog2.",#N/A,FALSE,FALSE,1,1,1,0.75,2,"","&amp;L&amp;F&amp;C&amp;A&amp;R&amp;D",FALSE,FALSE,FALSE,FALSE,1,75,#N/A,#N/A,"=R1C1:R61C33","=C1:C4","Rwvu.FRP_backlog2.",#N/A,FALSE,FALSE,TRUE,1,4294967292,300,FALSE,FALSE,TRUE,TRUE,TRUE}</definedName>
    <definedName name="wvu.FRP_backlog2._1" localSheetId="5" hidden="1">{TRUE,TRUE,4.75,-2,591,327,FALSE,TRUE,TRUE,TRUE,0,26,#N/A,1,#N/A,13.6909090909091,25.0666666666667,1,FALSE,FALSE,1,TRUE,1,FALSE,100,"Swvu.FRP_backlog2.","ACwvu.FRP_backlog2.",#N/A,FALSE,FALSE,1,1,1,0.75,2,"","&amp;L&amp;F&amp;C&amp;A&amp;R&amp;D",FALSE,FALSE,FALSE,FALSE,1,75,#N/A,#N/A,"=R1C1:R61C33","=C1:C4","Rwvu.FRP_backlog2.",#N/A,FALSE,FALSE,TRUE,1,4294967292,300,FALSE,FALSE,TRUE,TRUE,TRUE}</definedName>
    <definedName name="wvu.FRP_backlog2._1" localSheetId="4" hidden="1">{TRUE,TRUE,4.75,-2,591,327,FALSE,TRUE,TRUE,TRUE,0,26,#N/A,1,#N/A,13.6909090909091,25.0666666666667,1,FALSE,FALSE,1,TRUE,1,FALSE,100,"Swvu.FRP_backlog2.","ACwvu.FRP_backlog2.",#N/A,FALSE,FALSE,1,1,1,0.75,2,"","&amp;L&amp;F&amp;C&amp;A&amp;R&amp;D",FALSE,FALSE,FALSE,FALSE,1,75,#N/A,#N/A,"=R1C1:R61C33","=C1:C4","Rwvu.FRP_backlog2.",#N/A,FALSE,FALSE,TRUE,1,4294967292,300,FALSE,FALSE,TRUE,TRUE,TRUE}</definedName>
    <definedName name="wvu.FRP_backlog2._1" localSheetId="3" hidden="1">{TRUE,TRUE,4.75,-2,591,327,FALSE,TRUE,TRUE,TRUE,0,26,#N/A,1,#N/A,13.6909090909091,25.0666666666667,1,FALSE,FALSE,1,TRUE,1,FALSE,100,"Swvu.FRP_backlog2.","ACwvu.FRP_backlog2.",#N/A,FALSE,FALSE,1,1,1,0.75,2,"","&amp;L&amp;F&amp;C&amp;A&amp;R&amp;D",FALSE,FALSE,FALSE,FALSE,1,75,#N/A,#N/A,"=R1C1:R61C33","=C1:C4","Rwvu.FRP_backlog2.",#N/A,FALSE,FALSE,TRUE,1,4294967292,300,FALSE,FALSE,TRUE,TRUE,TRUE}</definedName>
    <definedName name="wvu.FRP_backlog2._1" hidden="1">{TRUE,TRUE,4.75,-2,591,327,FALSE,TRUE,TRUE,TRUE,0,26,#N/A,1,#N/A,13.6909090909091,25.0666666666667,1,FALSE,FALSE,1,TRUE,1,FALSE,100,"Swvu.FRP_backlog2.","ACwvu.FRP_backlog2.",#N/A,FALSE,FALSE,1,1,1,0.75,2,"","&amp;L&amp;F&amp;C&amp;A&amp;R&amp;D",FALSE,FALSE,FALSE,FALSE,1,75,#N/A,#N/A,"=R1C1:R61C33","=C1:C4","Rwvu.FRP_backlog2.",#N/A,FALSE,FALSE,TRUE,1,4294967292,300,FALSE,FALSE,TRUE,TRUE,TRUE}</definedName>
    <definedName name="wvu.inputs._.raw._.data." localSheetId="6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" localSheetId="5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" localSheetId="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" localSheetId="3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" localSheetId="6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" localSheetId="5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" localSheetId="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" localSheetId="3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summary1." localSheetId="6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" localSheetId="5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" localSheetId="4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" localSheetId="3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" localSheetId="6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" localSheetId="5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" localSheetId="4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" localSheetId="3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localSheetId="6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" localSheetId="5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" localSheetId="4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" localSheetId="3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" localSheetId="6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" localSheetId="5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" localSheetId="4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" localSheetId="3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localSheetId="6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" localSheetId="5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" localSheetId="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" localSheetId="3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" localSheetId="6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" localSheetId="5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" localSheetId="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" localSheetId="3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XREF_COLUMN_1" localSheetId="6" hidden="1">#REF!</definedName>
    <definedName name="XREF_COLUMN_1" localSheetId="5" hidden="1">#REF!</definedName>
    <definedName name="XREF_COLUMN_1" localSheetId="4" hidden="1">#REF!</definedName>
    <definedName name="XREF_COLUMN_1" localSheetId="3" hidden="1">#REF!</definedName>
    <definedName name="XREF_COLUMN_1" hidden="1">#REF!</definedName>
    <definedName name="XREF_COLUMN_2" localSheetId="6" hidden="1">#REF!</definedName>
    <definedName name="XREF_COLUMN_2" localSheetId="5" hidden="1">#REF!</definedName>
    <definedName name="XREF_COLUMN_2" localSheetId="4" hidden="1">#REF!</definedName>
    <definedName name="XREF_COLUMN_2" localSheetId="3" hidden="1">#REF!</definedName>
    <definedName name="XREF_COLUMN_2" hidden="1">#REF!</definedName>
    <definedName name="XREF_COLUMN_3" localSheetId="6" hidden="1">#REF!</definedName>
    <definedName name="XREF_COLUMN_3" localSheetId="5" hidden="1">#REF!</definedName>
    <definedName name="XREF_COLUMN_3" localSheetId="4" hidden="1">#REF!</definedName>
    <definedName name="XREF_COLUMN_3" localSheetId="3" hidden="1">#REF!</definedName>
    <definedName name="XREF_COLUMN_3" hidden="1">#REF!</definedName>
    <definedName name="XREF_COLUMN_4" localSheetId="6" hidden="1">#REF!</definedName>
    <definedName name="XREF_COLUMN_4" localSheetId="5" hidden="1">#REF!</definedName>
    <definedName name="XREF_COLUMN_4" localSheetId="4" hidden="1">#REF!</definedName>
    <definedName name="XREF_COLUMN_4" localSheetId="3" hidden="1">#REF!</definedName>
    <definedName name="XREF_COLUMN_4" hidden="1">#REF!</definedName>
    <definedName name="XREF_COLUMN_5" localSheetId="6" hidden="1">#REF!</definedName>
    <definedName name="XREF_COLUMN_5" localSheetId="5" hidden="1">#REF!</definedName>
    <definedName name="XREF_COLUMN_5" localSheetId="4" hidden="1">#REF!</definedName>
    <definedName name="XREF_COLUMN_5" localSheetId="3" hidden="1">#REF!</definedName>
    <definedName name="XREF_COLUMN_5" hidden="1">#REF!</definedName>
    <definedName name="XREF_COLUMN_6" localSheetId="6" hidden="1">#REF!</definedName>
    <definedName name="XREF_COLUMN_6" localSheetId="5" hidden="1">#REF!</definedName>
    <definedName name="XREF_COLUMN_6" localSheetId="4" hidden="1">#REF!</definedName>
    <definedName name="XREF_COLUMN_6" localSheetId="3" hidden="1">#REF!</definedName>
    <definedName name="XREF_COLUMN_6" hidden="1">#REF!</definedName>
    <definedName name="XRefActiveRow" localSheetId="6" hidden="1">#REF!</definedName>
    <definedName name="XRefActiveRow" localSheetId="5" hidden="1">#REF!</definedName>
    <definedName name="XRefActiveRow" localSheetId="4" hidden="1">#REF!</definedName>
    <definedName name="XRefActiveRow" localSheetId="3" hidden="1">#REF!</definedName>
    <definedName name="XRefActiveRow" hidden="1">#REF!</definedName>
    <definedName name="XRefColumnsCount" hidden="1">6</definedName>
    <definedName name="XRefCopy1" localSheetId="6" hidden="1">#REF!</definedName>
    <definedName name="XRefCopy1" localSheetId="5" hidden="1">#REF!</definedName>
    <definedName name="XRefCopy1" localSheetId="4" hidden="1">#REF!</definedName>
    <definedName name="XRefCopy1" localSheetId="3" hidden="1">#REF!</definedName>
    <definedName name="XRefCopy1" hidden="1">#REF!</definedName>
    <definedName name="XRefCopy1Row" localSheetId="6" hidden="1">#REF!</definedName>
    <definedName name="XRefCopy1Row" localSheetId="5" hidden="1">#REF!</definedName>
    <definedName name="XRefCopy1Row" localSheetId="4" hidden="1">#REF!</definedName>
    <definedName name="XRefCopy1Row" localSheetId="3" hidden="1">#REF!</definedName>
    <definedName name="XRefCopy1Row" hidden="1">#REF!</definedName>
    <definedName name="XRefCopy2" localSheetId="6" hidden="1">#REF!</definedName>
    <definedName name="XRefCopy2" localSheetId="5" hidden="1">#REF!</definedName>
    <definedName name="XRefCopy2" localSheetId="4" hidden="1">#REF!</definedName>
    <definedName name="XRefCopy2" localSheetId="3" hidden="1">#REF!</definedName>
    <definedName name="XRefCopy2" hidden="1">#REF!</definedName>
    <definedName name="XRefCopy3" localSheetId="6" hidden="1">#REF!</definedName>
    <definedName name="XRefCopy3" localSheetId="5" hidden="1">#REF!</definedName>
    <definedName name="XRefCopy3" localSheetId="4" hidden="1">#REF!</definedName>
    <definedName name="XRefCopy3" localSheetId="3" hidden="1">#REF!</definedName>
    <definedName name="XRefCopy3" hidden="1">#REF!</definedName>
    <definedName name="XRefCopy3Row" localSheetId="6" hidden="1">#REF!</definedName>
    <definedName name="XRefCopy3Row" localSheetId="5" hidden="1">#REF!</definedName>
    <definedName name="XRefCopy3Row" localSheetId="4" hidden="1">#REF!</definedName>
    <definedName name="XRefCopy3Row" localSheetId="3" hidden="1">#REF!</definedName>
    <definedName name="XRefCopy3Row" hidden="1">#REF!</definedName>
    <definedName name="XRefCopy4" localSheetId="6" hidden="1">#REF!</definedName>
    <definedName name="XRefCopy4" localSheetId="5" hidden="1">#REF!</definedName>
    <definedName name="XRefCopy4" localSheetId="4" hidden="1">#REF!</definedName>
    <definedName name="XRefCopy4" localSheetId="3" hidden="1">#REF!</definedName>
    <definedName name="XRefCopy4" hidden="1">#REF!</definedName>
    <definedName name="XRefCopy5" localSheetId="6" hidden="1">#REF!</definedName>
    <definedName name="XRefCopy5" localSheetId="5" hidden="1">#REF!</definedName>
    <definedName name="XRefCopy5" localSheetId="4" hidden="1">#REF!</definedName>
    <definedName name="XRefCopy5" localSheetId="3" hidden="1">#REF!</definedName>
    <definedName name="XRefCopy5" hidden="1">#REF!</definedName>
    <definedName name="XRefCopy6" localSheetId="6" hidden="1">#REF!</definedName>
    <definedName name="XRefCopy6" localSheetId="5" hidden="1">#REF!</definedName>
    <definedName name="XRefCopy6" localSheetId="4" hidden="1">#REF!</definedName>
    <definedName name="XRefCopy6" localSheetId="3" hidden="1">#REF!</definedName>
    <definedName name="XRefCopy6" hidden="1">#REF!</definedName>
    <definedName name="XRefCopy7" localSheetId="6" hidden="1">#REF!</definedName>
    <definedName name="XRefCopy7" localSheetId="5" hidden="1">#REF!</definedName>
    <definedName name="XRefCopy7" localSheetId="4" hidden="1">#REF!</definedName>
    <definedName name="XRefCopy7" localSheetId="3" hidden="1">#REF!</definedName>
    <definedName name="XRefCopy7" hidden="1">#REF!</definedName>
    <definedName name="XRefCopy8" localSheetId="6" hidden="1">#REF!</definedName>
    <definedName name="XRefCopy8" localSheetId="5" hidden="1">#REF!</definedName>
    <definedName name="XRefCopy8" localSheetId="4" hidden="1">#REF!</definedName>
    <definedName name="XRefCopy8" localSheetId="3" hidden="1">#REF!</definedName>
    <definedName name="XRefCopy8" hidden="1">#REF!</definedName>
    <definedName name="XRefCopy8Row" localSheetId="6" hidden="1">#REF!</definedName>
    <definedName name="XRefCopy8Row" localSheetId="5" hidden="1">#REF!</definedName>
    <definedName name="XRefCopy8Row" localSheetId="4" hidden="1">#REF!</definedName>
    <definedName name="XRefCopy8Row" localSheetId="3" hidden="1">#REF!</definedName>
    <definedName name="XRefCopy8Row" hidden="1">#REF!</definedName>
    <definedName name="XRefCopy9" localSheetId="6" hidden="1">#REF!</definedName>
    <definedName name="XRefCopy9" localSheetId="5" hidden="1">#REF!</definedName>
    <definedName name="XRefCopy9" localSheetId="4" hidden="1">#REF!</definedName>
    <definedName name="XRefCopy9" localSheetId="3" hidden="1">#REF!</definedName>
    <definedName name="XRefCopy9" hidden="1">#REF!</definedName>
    <definedName name="XRefCopy9Row" localSheetId="6" hidden="1">#REF!</definedName>
    <definedName name="XRefCopy9Row" localSheetId="5" hidden="1">#REF!</definedName>
    <definedName name="XRefCopy9Row" localSheetId="4" hidden="1">#REF!</definedName>
    <definedName name="XRefCopy9Row" localSheetId="3" hidden="1">#REF!</definedName>
    <definedName name="XRefCopy9Row" hidden="1">#REF!</definedName>
    <definedName name="XRefCopyRangeCount" hidden="1">9</definedName>
    <definedName name="XRefPaste1" localSheetId="6" hidden="1">#REF!</definedName>
    <definedName name="XRefPaste1" localSheetId="5" hidden="1">#REF!</definedName>
    <definedName name="XRefPaste1" localSheetId="4" hidden="1">#REF!</definedName>
    <definedName name="XRefPaste1" localSheetId="3" hidden="1">#REF!</definedName>
    <definedName name="XRefPaste1" hidden="1">#REF!</definedName>
    <definedName name="XRefPaste1Row" localSheetId="6" hidden="1">#REF!</definedName>
    <definedName name="XRefPaste1Row" localSheetId="5" hidden="1">#REF!</definedName>
    <definedName name="XRefPaste1Row" localSheetId="4" hidden="1">#REF!</definedName>
    <definedName name="XRefPaste1Row" localSheetId="3" hidden="1">#REF!</definedName>
    <definedName name="XRefPaste1Row" hidden="1">#REF!</definedName>
    <definedName name="XRefPaste2" localSheetId="6" hidden="1">#REF!</definedName>
    <definedName name="XRefPaste2" localSheetId="5" hidden="1">#REF!</definedName>
    <definedName name="XRefPaste2" localSheetId="4" hidden="1">#REF!</definedName>
    <definedName name="XRefPaste2" localSheetId="3" hidden="1">#REF!</definedName>
    <definedName name="XRefPaste2" hidden="1">#REF!</definedName>
    <definedName name="XRefPaste2Row" localSheetId="6" hidden="1">#REF!</definedName>
    <definedName name="XRefPaste2Row" localSheetId="5" hidden="1">#REF!</definedName>
    <definedName name="XRefPaste2Row" localSheetId="4" hidden="1">#REF!</definedName>
    <definedName name="XRefPaste2Row" localSheetId="3" hidden="1">#REF!</definedName>
    <definedName name="XRefPaste2Row" hidden="1">#REF!</definedName>
    <definedName name="XRefPaste3" localSheetId="6" hidden="1">#REF!</definedName>
    <definedName name="XRefPaste3" localSheetId="5" hidden="1">#REF!</definedName>
    <definedName name="XRefPaste3" localSheetId="4" hidden="1">#REF!</definedName>
    <definedName name="XRefPaste3" localSheetId="3" hidden="1">#REF!</definedName>
    <definedName name="XRefPaste3" hidden="1">#REF!</definedName>
    <definedName name="XRefPaste3Row" localSheetId="6" hidden="1">#REF!</definedName>
    <definedName name="XRefPaste3Row" localSheetId="5" hidden="1">#REF!</definedName>
    <definedName name="XRefPaste3Row" localSheetId="4" hidden="1">#REF!</definedName>
    <definedName name="XRefPaste3Row" localSheetId="3" hidden="1">#REF!</definedName>
    <definedName name="XRefPaste3Row" hidden="1">#REF!</definedName>
    <definedName name="XRefPaste4" localSheetId="6" hidden="1">#REF!</definedName>
    <definedName name="XRefPaste4" localSheetId="5" hidden="1">#REF!</definedName>
    <definedName name="XRefPaste4" localSheetId="4" hidden="1">#REF!</definedName>
    <definedName name="XRefPaste4" localSheetId="3" hidden="1">#REF!</definedName>
    <definedName name="XRefPaste4" hidden="1">#REF!</definedName>
    <definedName name="XRefPaste4Row" localSheetId="6" hidden="1">#REF!</definedName>
    <definedName name="XRefPaste4Row" localSheetId="5" hidden="1">#REF!</definedName>
    <definedName name="XRefPaste4Row" localSheetId="4" hidden="1">#REF!</definedName>
    <definedName name="XRefPaste4Row" localSheetId="3" hidden="1">#REF!</definedName>
    <definedName name="XRefPaste4Row" hidden="1">#REF!</definedName>
    <definedName name="XRefPaste5" localSheetId="6" hidden="1">#REF!</definedName>
    <definedName name="XRefPaste5" localSheetId="5" hidden="1">#REF!</definedName>
    <definedName name="XRefPaste5" localSheetId="4" hidden="1">#REF!</definedName>
    <definedName name="XRefPaste5" localSheetId="3" hidden="1">#REF!</definedName>
    <definedName name="XRefPaste5" hidden="1">#REF!</definedName>
    <definedName name="XRefPaste5Row" localSheetId="6" hidden="1">#REF!</definedName>
    <definedName name="XRefPaste5Row" localSheetId="5" hidden="1">#REF!</definedName>
    <definedName name="XRefPaste5Row" localSheetId="4" hidden="1">#REF!</definedName>
    <definedName name="XRefPaste5Row" localSheetId="3" hidden="1">#REF!</definedName>
    <definedName name="XRefPaste5Row" hidden="1">#REF!</definedName>
    <definedName name="XRefPaste6" localSheetId="6" hidden="1">#REF!</definedName>
    <definedName name="XRefPaste6" localSheetId="5" hidden="1">#REF!</definedName>
    <definedName name="XRefPaste6" localSheetId="4" hidden="1">#REF!</definedName>
    <definedName name="XRefPaste6" localSheetId="3" hidden="1">#REF!</definedName>
    <definedName name="XRefPaste6" hidden="1">#REF!</definedName>
    <definedName name="XRefPaste6Row" localSheetId="6" hidden="1">#REF!</definedName>
    <definedName name="XRefPaste6Row" localSheetId="5" hidden="1">#REF!</definedName>
    <definedName name="XRefPaste6Row" localSheetId="4" hidden="1">#REF!</definedName>
    <definedName name="XRefPaste6Row" localSheetId="3" hidden="1">#REF!</definedName>
    <definedName name="XRefPaste6Row" hidden="1">#REF!</definedName>
    <definedName name="XRefPaste7" localSheetId="6" hidden="1">#REF!</definedName>
    <definedName name="XRefPaste7" localSheetId="5" hidden="1">#REF!</definedName>
    <definedName name="XRefPaste7" localSheetId="4" hidden="1">#REF!</definedName>
    <definedName name="XRefPaste7" localSheetId="3" hidden="1">#REF!</definedName>
    <definedName name="XRefPaste7" hidden="1">#REF!</definedName>
    <definedName name="XRefPaste7Row" localSheetId="6" hidden="1">#REF!</definedName>
    <definedName name="XRefPaste7Row" localSheetId="5" hidden="1">#REF!</definedName>
    <definedName name="XRefPaste7Row" localSheetId="4" hidden="1">#REF!</definedName>
    <definedName name="XRefPaste7Row" localSheetId="3" hidden="1">#REF!</definedName>
    <definedName name="XRefPaste7Row" hidden="1">#REF!</definedName>
    <definedName name="XRefPasteRangeCount" hidden="1">7</definedName>
    <definedName name="xxxx" localSheetId="6" hidden="1">{#N/A,#N/A,FALSE,"Sheet1";#N/A,#N/A,FALSE,"Sheet2";#N/A,#N/A,FALSE,"Sheet3";#N/A,#N/A,FALSE,"Sheet4";#N/A,#N/A,FALSE,"Sheet5";#N/A,#N/A,FALSE,"Sheet6"}</definedName>
    <definedName name="xxxx" localSheetId="5" hidden="1">{#N/A,#N/A,FALSE,"Sheet1";#N/A,#N/A,FALSE,"Sheet2";#N/A,#N/A,FALSE,"Sheet3";#N/A,#N/A,FALSE,"Sheet4";#N/A,#N/A,FALSE,"Sheet5";#N/A,#N/A,FALSE,"Sheet6"}</definedName>
    <definedName name="xxxx" localSheetId="4" hidden="1">{#N/A,#N/A,FALSE,"Sheet1";#N/A,#N/A,FALSE,"Sheet2";#N/A,#N/A,FALSE,"Sheet3";#N/A,#N/A,FALSE,"Sheet4";#N/A,#N/A,FALSE,"Sheet5";#N/A,#N/A,FALSE,"Sheet6"}</definedName>
    <definedName name="xxxx" localSheetId="3" hidden="1">{#N/A,#N/A,FALSE,"Sheet1";#N/A,#N/A,FALSE,"Sheet2";#N/A,#N/A,FALSE,"Sheet3";#N/A,#N/A,FALSE,"Sheet4";#N/A,#N/A,FALSE,"Sheet5";#N/A,#N/A,FALSE,"Sheet6"}</definedName>
    <definedName name="xxxx" hidden="1">{#N/A,#N/A,FALSE,"Sheet1";#N/A,#N/A,FALSE,"Sheet2";#N/A,#N/A,FALSE,"Sheet3";#N/A,#N/A,FALSE,"Sheet4";#N/A,#N/A,FALSE,"Sheet5";#N/A,#N/A,FALSE,"Sheet6"}</definedName>
    <definedName name="xxxx_1" localSheetId="6" hidden="1">{#N/A,#N/A,FALSE,"Sheet1";#N/A,#N/A,FALSE,"Sheet2";#N/A,#N/A,FALSE,"Sheet3";#N/A,#N/A,FALSE,"Sheet4";#N/A,#N/A,FALSE,"Sheet5";#N/A,#N/A,FALSE,"Sheet6"}</definedName>
    <definedName name="xxxx_1" localSheetId="5" hidden="1">{#N/A,#N/A,FALSE,"Sheet1";#N/A,#N/A,FALSE,"Sheet2";#N/A,#N/A,FALSE,"Sheet3";#N/A,#N/A,FALSE,"Sheet4";#N/A,#N/A,FALSE,"Sheet5";#N/A,#N/A,FALSE,"Sheet6"}</definedName>
    <definedName name="xxxx_1" localSheetId="4" hidden="1">{#N/A,#N/A,FALSE,"Sheet1";#N/A,#N/A,FALSE,"Sheet2";#N/A,#N/A,FALSE,"Sheet3";#N/A,#N/A,FALSE,"Sheet4";#N/A,#N/A,FALSE,"Sheet5";#N/A,#N/A,FALSE,"Sheet6"}</definedName>
    <definedName name="xxxx_1" localSheetId="3" hidden="1">{#N/A,#N/A,FALSE,"Sheet1";#N/A,#N/A,FALSE,"Sheet2";#N/A,#N/A,FALSE,"Sheet3";#N/A,#N/A,FALSE,"Sheet4";#N/A,#N/A,FALSE,"Sheet5";#N/A,#N/A,FALSE,"Sheet6"}</definedName>
    <definedName name="xxxx_1" hidden="1">{#N/A,#N/A,FALSE,"Sheet1";#N/A,#N/A,FALSE,"Sheet2";#N/A,#N/A,FALSE,"Sheet3";#N/A,#N/A,FALSE,"Sheet4";#N/A,#N/A,FALSE,"Sheet5";#N/A,#N/A,FALSE,"Sheet6"}</definedName>
    <definedName name="yy" localSheetId="6" hidden="1">{#N/A,#N/A,FALSE,"contents";#N/A,#N/A,FALSE,"Balance sheet";#N/A,#N/A,FALSE,"income";#N/A,#N/A,FALSE,"Cash-flow";#N/A,#N/A,FALSE,"Equity";#N/A,#N/A,FALSE,"Notes";#N/A,#N/A,FALSE,"Supplemental"}</definedName>
    <definedName name="yy" localSheetId="5" hidden="1">{#N/A,#N/A,FALSE,"contents";#N/A,#N/A,FALSE,"Balance sheet";#N/A,#N/A,FALSE,"income";#N/A,#N/A,FALSE,"Cash-flow";#N/A,#N/A,FALSE,"Equity";#N/A,#N/A,FALSE,"Notes";#N/A,#N/A,FALSE,"Supplemental"}</definedName>
    <definedName name="yy" localSheetId="4" hidden="1">{#N/A,#N/A,FALSE,"contents";#N/A,#N/A,FALSE,"Balance sheet";#N/A,#N/A,FALSE,"income";#N/A,#N/A,FALSE,"Cash-flow";#N/A,#N/A,FALSE,"Equity";#N/A,#N/A,FALSE,"Notes";#N/A,#N/A,FALSE,"Supplemental"}</definedName>
    <definedName name="yy" localSheetId="3" hidden="1">{#N/A,#N/A,FALSE,"contents";#N/A,#N/A,FALSE,"Balance sheet";#N/A,#N/A,FALSE,"income";#N/A,#N/A,FALSE,"Cash-flow";#N/A,#N/A,FALSE,"Equity";#N/A,#N/A,FALSE,"Notes";#N/A,#N/A,FALSE,"Supplemental"}</definedName>
    <definedName name="yy" hidden="1">{#N/A,#N/A,FALSE,"contents";#N/A,#N/A,FALSE,"Balance sheet";#N/A,#N/A,FALSE,"income";#N/A,#N/A,FALSE,"Cash-flow";#N/A,#N/A,FALSE,"Equity";#N/A,#N/A,FALSE,"Notes";#N/A,#N/A,FALSE,"Supplemental"}</definedName>
    <definedName name="yy_1" localSheetId="6" hidden="1">{#N/A,#N/A,FALSE,"contents";#N/A,#N/A,FALSE,"Balance sheet";#N/A,#N/A,FALSE,"income";#N/A,#N/A,FALSE,"Cash-flow";#N/A,#N/A,FALSE,"Equity";#N/A,#N/A,FALSE,"Notes";#N/A,#N/A,FALSE,"Supplemental"}</definedName>
    <definedName name="yy_1" localSheetId="5" hidden="1">{#N/A,#N/A,FALSE,"contents";#N/A,#N/A,FALSE,"Balance sheet";#N/A,#N/A,FALSE,"income";#N/A,#N/A,FALSE,"Cash-flow";#N/A,#N/A,FALSE,"Equity";#N/A,#N/A,FALSE,"Notes";#N/A,#N/A,FALSE,"Supplemental"}</definedName>
    <definedName name="yy_1" localSheetId="4" hidden="1">{#N/A,#N/A,FALSE,"contents";#N/A,#N/A,FALSE,"Balance sheet";#N/A,#N/A,FALSE,"income";#N/A,#N/A,FALSE,"Cash-flow";#N/A,#N/A,FALSE,"Equity";#N/A,#N/A,FALSE,"Notes";#N/A,#N/A,FALSE,"Supplemental"}</definedName>
    <definedName name="yy_1" localSheetId="3" hidden="1">{#N/A,#N/A,FALSE,"contents";#N/A,#N/A,FALSE,"Balance sheet";#N/A,#N/A,FALSE,"income";#N/A,#N/A,FALSE,"Cash-flow";#N/A,#N/A,FALSE,"Equity";#N/A,#N/A,FALSE,"Notes";#N/A,#N/A,FALSE,"Supplemental"}</definedName>
    <definedName name="yy_1" hidden="1">{#N/A,#N/A,FALSE,"contents";#N/A,#N/A,FALSE,"Balance sheet";#N/A,#N/A,FALSE,"income";#N/A,#N/A,FALSE,"Cash-flow";#N/A,#N/A,FALSE,"Equity";#N/A,#N/A,FALSE,"Notes";#N/A,#N/A,FALSE,"Supplemental"}</definedName>
    <definedName name="Z_293F9608_6186_11D1_8188_004C06C10000_.wvu.Cols" localSheetId="6" hidden="1">#REF!</definedName>
    <definedName name="Z_293F9608_6186_11D1_8188_004C06C10000_.wvu.Cols" localSheetId="5" hidden="1">#REF!</definedName>
    <definedName name="Z_293F9608_6186_11D1_8188_004C06C10000_.wvu.Cols" localSheetId="4" hidden="1">#REF!</definedName>
    <definedName name="Z_293F9608_6186_11D1_8188_004C06C10000_.wvu.Cols" localSheetId="3" hidden="1">#REF!</definedName>
    <definedName name="Z_293F9608_6186_11D1_8188_004C06C10000_.wvu.Cols" hidden="1">#REF!</definedName>
    <definedName name="Z_78846D24_6B2D_11D1_8188_004C06C10000_.wvu.Cols" localSheetId="6" hidden="1">#REF!</definedName>
    <definedName name="Z_78846D24_6B2D_11D1_8188_004C06C10000_.wvu.Cols" localSheetId="5" hidden="1">#REF!</definedName>
    <definedName name="Z_78846D24_6B2D_11D1_8188_004C06C10000_.wvu.Cols" localSheetId="4" hidden="1">#REF!</definedName>
    <definedName name="Z_78846D24_6B2D_11D1_8188_004C06C10000_.wvu.Cols" localSheetId="3" hidden="1">#REF!</definedName>
    <definedName name="Z_78846D24_6B2D_11D1_8188_004C06C10000_.wvu.Cols" hidden="1">#REF!</definedName>
    <definedName name="Z_8723E284_6CA3_11D1_8188_004C06C10000_.wvu.Cols" localSheetId="6" hidden="1">#REF!</definedName>
    <definedName name="Z_8723E284_6CA3_11D1_8188_004C06C10000_.wvu.Cols" localSheetId="5" hidden="1">#REF!</definedName>
    <definedName name="Z_8723E284_6CA3_11D1_8188_004C06C10000_.wvu.Cols" localSheetId="4" hidden="1">#REF!</definedName>
    <definedName name="Z_8723E284_6CA3_11D1_8188_004C06C10000_.wvu.Cols" localSheetId="3" hidden="1">#REF!</definedName>
    <definedName name="Z_8723E284_6CA3_11D1_8188_004C06C10000_.wvu.Cols" hidden="1">#REF!</definedName>
    <definedName name="אאא" localSheetId="6" hidden="1">{#N/A,#N/A,FALSE,"מאזן בוחן";"כל_מאזן_בוחן",#N/A,FALSE,"מאזן בוחן"}</definedName>
    <definedName name="אאא" localSheetId="5" hidden="1">{#N/A,#N/A,FALSE,"מאזן בוחן";"כל_מאזן_בוחן",#N/A,FALSE,"מאזן בוחן"}</definedName>
    <definedName name="אאא" localSheetId="4" hidden="1">{#N/A,#N/A,FALSE,"מאזן בוחן";"כל_מאזן_בוחן",#N/A,FALSE,"מאזן בוחן"}</definedName>
    <definedName name="אאא" localSheetId="3" hidden="1">{#N/A,#N/A,FALSE,"מאזן בוחן";"כל_מאזן_בוחן",#N/A,FALSE,"מאזן בוחן"}</definedName>
    <definedName name="אאא" hidden="1">{#N/A,#N/A,FALSE,"מאזן בוחן";"כל_מאזן_בוחן",#N/A,FALSE,"מאזן בוחן"}</definedName>
    <definedName name="אאא_1" localSheetId="6" hidden="1">{#N/A,#N/A,FALSE,"מאזן בוחן";"כל_מאזן_בוחן",#N/A,FALSE,"מאזן בוחן"}</definedName>
    <definedName name="אאא_1" localSheetId="5" hidden="1">{#N/A,#N/A,FALSE,"מאזן בוחן";"כל_מאזן_בוחן",#N/A,FALSE,"מאזן בוחן"}</definedName>
    <definedName name="אאא_1" localSheetId="4" hidden="1">{#N/A,#N/A,FALSE,"מאזן בוחן";"כל_מאזן_בוחן",#N/A,FALSE,"מאזן בוחן"}</definedName>
    <definedName name="אאא_1" localSheetId="3" hidden="1">{#N/A,#N/A,FALSE,"מאזן בוחן";"כל_מאזן_בוחן",#N/A,FALSE,"מאזן בוחן"}</definedName>
    <definedName name="אאא_1" hidden="1">{#N/A,#N/A,FALSE,"מאזן בוחן";"כל_מאזן_בוחן",#N/A,FALSE,"מאזן בוחן"}</definedName>
    <definedName name="בככ" localSheetId="6" hidden="1">{"מזומנים",#N/A,FALSE,"מאזן בוחן";"חיבים_ויתרות_חובה",#N/A,FALSE,"מאזן בוחן";"רכוש_קבוע",#N/A,FALSE,"מאזן בוחן";"השקעה_זק",#N/A,FALSE,"מאזן בוחן";"השקעה_במוחזקות",#N/A,FALSE,"מאזן בוחן";"השקעה_אחרות",#N/A,FALSE,"מאזן בוחן";"זכאים_ויתרות_זכות",#N/A,FALSE,"מאזן בוחן";"הלוואות_בעמנ_ובנקים",#N/A,FALSE,"מאזן בוחן";"עתודה_לפצויים_והון",#N/A,FALSE,"מאזן בוחן";"הכנסות",#N/A,FALSE,"מאזן בוחן";"הוצאות_הנהלה_וכלליות",#N/A,FALSE,"מאזן בוחן";"הוצאות_מימון",#N/A,FALSE,"מאזן בוחן";"אקוויטי_ובדיקת_השקעו",#N/A,FALSE,"מאזן בוחן"}</definedName>
    <definedName name="בככ" localSheetId="5" hidden="1">{"מזומנים",#N/A,FALSE,"מאזן בוחן";"חיבים_ויתרות_חובה",#N/A,FALSE,"מאזן בוחן";"רכוש_קבוע",#N/A,FALSE,"מאזן בוחן";"השקעה_זק",#N/A,FALSE,"מאזן בוחן";"השקעה_במוחזקות",#N/A,FALSE,"מאזן בוחן";"השקעה_אחרות",#N/A,FALSE,"מאזן בוחן";"זכאים_ויתרות_זכות",#N/A,FALSE,"מאזן בוחן";"הלוואות_בעמנ_ובנקים",#N/A,FALSE,"מאזן בוחן";"עתודה_לפצויים_והון",#N/A,FALSE,"מאזן בוחן";"הכנסות",#N/A,FALSE,"מאזן בוחן";"הוצאות_הנהלה_וכלליות",#N/A,FALSE,"מאזן בוחן";"הוצאות_מימון",#N/A,FALSE,"מאזן בוחן";"אקוויטי_ובדיקת_השקעו",#N/A,FALSE,"מאזן בוחן"}</definedName>
    <definedName name="בככ" localSheetId="4" hidden="1">{"מזומנים",#N/A,FALSE,"מאזן בוחן";"חיבים_ויתרות_חובה",#N/A,FALSE,"מאזן בוחן";"רכוש_קבוע",#N/A,FALSE,"מאזן בוחן";"השקעה_זק",#N/A,FALSE,"מאזן בוחן";"השקעה_במוחזקות",#N/A,FALSE,"מאזן בוחן";"השקעה_אחרות",#N/A,FALSE,"מאזן בוחן";"זכאים_ויתרות_זכות",#N/A,FALSE,"מאזן בוחן";"הלוואות_בעמנ_ובנקים",#N/A,FALSE,"מאזן בוחן";"עתודה_לפצויים_והון",#N/A,FALSE,"מאזן בוחן";"הכנסות",#N/A,FALSE,"מאזן בוחן";"הוצאות_הנהלה_וכלליות",#N/A,FALSE,"מאזן בוחן";"הוצאות_מימון",#N/A,FALSE,"מאזן בוחן";"אקוויטי_ובדיקת_השקעו",#N/A,FALSE,"מאזן בוחן"}</definedName>
    <definedName name="בככ" localSheetId="3" hidden="1">{"מזומנים",#N/A,FALSE,"מאזן בוחן";"חיבים_ויתרות_חובה",#N/A,FALSE,"מאזן בוחן";"רכוש_קבוע",#N/A,FALSE,"מאזן בוחן";"השקעה_זק",#N/A,FALSE,"מאזן בוחן";"השקעה_במוחזקות",#N/A,FALSE,"מאזן בוחן";"השקעה_אחרות",#N/A,FALSE,"מאזן בוחן";"זכאים_ויתרות_זכות",#N/A,FALSE,"מאזן בוחן";"הלוואות_בעמנ_ובנקים",#N/A,FALSE,"מאזן בוחן";"עתודה_לפצויים_והון",#N/A,FALSE,"מאזן בוחן";"הכנסות",#N/A,FALSE,"מאזן בוחן";"הוצאות_הנהלה_וכלליות",#N/A,FALSE,"מאזן בוחן";"הוצאות_מימון",#N/A,FALSE,"מאזן בוחן";"אקוויטי_ובדיקת_השקעו",#N/A,FALSE,"מאזן בוחן"}</definedName>
    <definedName name="בככ" hidden="1">{"מזומנים",#N/A,FALSE,"מאזן בוחן";"חיבים_ויתרות_חובה",#N/A,FALSE,"מאזן בוחן";"רכוש_קבוע",#N/A,FALSE,"מאזן בוחן";"השקעה_זק",#N/A,FALSE,"מאזן בוחן";"השקעה_במוחזקות",#N/A,FALSE,"מאזן בוחן";"השקעה_אחרות",#N/A,FALSE,"מאזן בוחן";"זכאים_ויתרות_זכות",#N/A,FALSE,"מאזן בוחן";"הלוואות_בעמנ_ובנקים",#N/A,FALSE,"מאזן בוחן";"עתודה_לפצויים_והון",#N/A,FALSE,"מאזן בוחן";"הכנסות",#N/A,FALSE,"מאזן בוחן";"הוצאות_הנהלה_וכלליות",#N/A,FALSE,"מאזן בוחן";"הוצאות_מימון",#N/A,FALSE,"מאזן בוחן";"אקוויטי_ובדיקת_השקעו",#N/A,FALSE,"מאזן בוחן"}</definedName>
    <definedName name="בככ_1" localSheetId="6" hidden="1">{"מזומנים",#N/A,FALSE,"מאזן בוחן";"חיבים_ויתרות_חובה",#N/A,FALSE,"מאזן בוחן";"רכוש_קבוע",#N/A,FALSE,"מאזן בוחן";"השקעה_זק",#N/A,FALSE,"מאזן בוחן";"השקעה_במוחזקות",#N/A,FALSE,"מאזן בוחן";"השקעה_אחרות",#N/A,FALSE,"מאזן בוחן";"זכאים_ויתרות_זכות",#N/A,FALSE,"מאזן בוחן";"הלוואות_בעמנ_ובנקים",#N/A,FALSE,"מאזן בוחן";"עתודה_לפצויים_והון",#N/A,FALSE,"מאזן בוחן";"הכנסות",#N/A,FALSE,"מאזן בוחן";"הוצאות_הנהלה_וכלליות",#N/A,FALSE,"מאזן בוחן";"הוצאות_מימון",#N/A,FALSE,"מאזן בוחן";"אקוויטי_ובדיקת_השקעו",#N/A,FALSE,"מאזן בוחן"}</definedName>
    <definedName name="בככ_1" localSheetId="5" hidden="1">{"מזומנים",#N/A,FALSE,"מאזן בוחן";"חיבים_ויתרות_חובה",#N/A,FALSE,"מאזן בוחן";"רכוש_קבוע",#N/A,FALSE,"מאזן בוחן";"השקעה_זק",#N/A,FALSE,"מאזן בוחן";"השקעה_במוחזקות",#N/A,FALSE,"מאזן בוחן";"השקעה_אחרות",#N/A,FALSE,"מאזן בוחן";"זכאים_ויתרות_זכות",#N/A,FALSE,"מאזן בוחן";"הלוואות_בעמנ_ובנקים",#N/A,FALSE,"מאזן בוחן";"עתודה_לפצויים_והון",#N/A,FALSE,"מאזן בוחן";"הכנסות",#N/A,FALSE,"מאזן בוחן";"הוצאות_הנהלה_וכלליות",#N/A,FALSE,"מאזן בוחן";"הוצאות_מימון",#N/A,FALSE,"מאזן בוחן";"אקוויטי_ובדיקת_השקעו",#N/A,FALSE,"מאזן בוחן"}</definedName>
    <definedName name="בככ_1" localSheetId="4" hidden="1">{"מזומנים",#N/A,FALSE,"מאזן בוחן";"חיבים_ויתרות_חובה",#N/A,FALSE,"מאזן בוחן";"רכוש_קבוע",#N/A,FALSE,"מאזן בוחן";"השקעה_זק",#N/A,FALSE,"מאזן בוחן";"השקעה_במוחזקות",#N/A,FALSE,"מאזן בוחן";"השקעה_אחרות",#N/A,FALSE,"מאזן בוחן";"זכאים_ויתרות_זכות",#N/A,FALSE,"מאזן בוחן";"הלוואות_בעמנ_ובנקים",#N/A,FALSE,"מאזן בוחן";"עתודה_לפצויים_והון",#N/A,FALSE,"מאזן בוחן";"הכנסות",#N/A,FALSE,"מאזן בוחן";"הוצאות_הנהלה_וכלליות",#N/A,FALSE,"מאזן בוחן";"הוצאות_מימון",#N/A,FALSE,"מאזן בוחן";"אקוויטי_ובדיקת_השקעו",#N/A,FALSE,"מאזן בוחן"}</definedName>
    <definedName name="בככ_1" localSheetId="3" hidden="1">{"מזומנים",#N/A,FALSE,"מאזן בוחן";"חיבים_ויתרות_חובה",#N/A,FALSE,"מאזן בוחן";"רכוש_קבוע",#N/A,FALSE,"מאזן בוחן";"השקעה_זק",#N/A,FALSE,"מאזן בוחן";"השקעה_במוחזקות",#N/A,FALSE,"מאזן בוחן";"השקעה_אחרות",#N/A,FALSE,"מאזן בוחן";"זכאים_ויתרות_זכות",#N/A,FALSE,"מאזן בוחן";"הלוואות_בעמנ_ובנקים",#N/A,FALSE,"מאזן בוחן";"עתודה_לפצויים_והון",#N/A,FALSE,"מאזן בוחן";"הכנסות",#N/A,FALSE,"מאזן בוחן";"הוצאות_הנהלה_וכלליות",#N/A,FALSE,"מאזן בוחן";"הוצאות_מימון",#N/A,FALSE,"מאזן בוחן";"אקוויטי_ובדיקת_השקעו",#N/A,FALSE,"מאזן בוחן"}</definedName>
    <definedName name="בככ_1" hidden="1">{"מזומנים",#N/A,FALSE,"מאזן בוחן";"חיבים_ויתרות_חובה",#N/A,FALSE,"מאזן בוחן";"רכוש_קבוע",#N/A,FALSE,"מאזן בוחן";"השקעה_זק",#N/A,FALSE,"מאזן בוחן";"השקעה_במוחזקות",#N/A,FALSE,"מאזן בוחן";"השקעה_אחרות",#N/A,FALSE,"מאזן בוחן";"זכאים_ויתרות_זכות",#N/A,FALSE,"מאזן בוחן";"הלוואות_בעמנ_ובנקים",#N/A,FALSE,"מאזן בוחן";"עתודה_לפצויים_והון",#N/A,FALSE,"מאזן בוחן";"הכנסות",#N/A,FALSE,"מאזן בוחן";"הוצאות_הנהלה_וכלליות",#N/A,FALSE,"מאזן בוחן";"הוצאות_מימון",#N/A,FALSE,"מאזן בוחן";"אקוויטי_ובדיקת_השקעו",#N/A,FALSE,"מאזן בוחן"}</definedName>
    <definedName name="לחי" localSheetId="6" hidden="1">{#N/A,#N/A,FALSE,"contents";#N/A,#N/A,FALSE,"balance sheet";#N/A,#N/A,FALSE,"income";#N/A,#N/A,FALSE,"cash flow";#N/A,#N/A,FALSE,"equity";#N/A,#N/A,FALSE,"notes";#N/A,#N/A,FALSE,"Expenses"}</definedName>
    <definedName name="לחי" localSheetId="5" hidden="1">{#N/A,#N/A,FALSE,"contents";#N/A,#N/A,FALSE,"balance sheet";#N/A,#N/A,FALSE,"income";#N/A,#N/A,FALSE,"cash flow";#N/A,#N/A,FALSE,"equity";#N/A,#N/A,FALSE,"notes";#N/A,#N/A,FALSE,"Expenses"}</definedName>
    <definedName name="לחי" localSheetId="4" hidden="1">{#N/A,#N/A,FALSE,"contents";#N/A,#N/A,FALSE,"balance sheet";#N/A,#N/A,FALSE,"income";#N/A,#N/A,FALSE,"cash flow";#N/A,#N/A,FALSE,"equity";#N/A,#N/A,FALSE,"notes";#N/A,#N/A,FALSE,"Expenses"}</definedName>
    <definedName name="לחי" localSheetId="3" hidden="1">{#N/A,#N/A,FALSE,"contents";#N/A,#N/A,FALSE,"balance sheet";#N/A,#N/A,FALSE,"income";#N/A,#N/A,FALSE,"cash flow";#N/A,#N/A,FALSE,"equity";#N/A,#N/A,FALSE,"notes";#N/A,#N/A,FALSE,"Expenses"}</definedName>
    <definedName name="לחי" hidden="1">{#N/A,#N/A,FALSE,"contents";#N/A,#N/A,FALSE,"balance sheet";#N/A,#N/A,FALSE,"income";#N/A,#N/A,FALSE,"cash flow";#N/A,#N/A,FALSE,"equity";#N/A,#N/A,FALSE,"notes";#N/A,#N/A,FALSE,"Expenses"}</definedName>
    <definedName name="לחי_1" localSheetId="6" hidden="1">{#N/A,#N/A,FALSE,"contents";#N/A,#N/A,FALSE,"balance sheet";#N/A,#N/A,FALSE,"income";#N/A,#N/A,FALSE,"cash flow";#N/A,#N/A,FALSE,"equity";#N/A,#N/A,FALSE,"notes";#N/A,#N/A,FALSE,"Expenses"}</definedName>
    <definedName name="לחי_1" localSheetId="5" hidden="1">{#N/A,#N/A,FALSE,"contents";#N/A,#N/A,FALSE,"balance sheet";#N/A,#N/A,FALSE,"income";#N/A,#N/A,FALSE,"cash flow";#N/A,#N/A,FALSE,"equity";#N/A,#N/A,FALSE,"notes";#N/A,#N/A,FALSE,"Expenses"}</definedName>
    <definedName name="לחי_1" localSheetId="4" hidden="1">{#N/A,#N/A,FALSE,"contents";#N/A,#N/A,FALSE,"balance sheet";#N/A,#N/A,FALSE,"income";#N/A,#N/A,FALSE,"cash flow";#N/A,#N/A,FALSE,"equity";#N/A,#N/A,FALSE,"notes";#N/A,#N/A,FALSE,"Expenses"}</definedName>
    <definedName name="לחי_1" localSheetId="3" hidden="1">{#N/A,#N/A,FALSE,"contents";#N/A,#N/A,FALSE,"balance sheet";#N/A,#N/A,FALSE,"income";#N/A,#N/A,FALSE,"cash flow";#N/A,#N/A,FALSE,"equity";#N/A,#N/A,FALSE,"notes";#N/A,#N/A,FALSE,"Expenses"}</definedName>
    <definedName name="לחי_1" hidden="1">{#N/A,#N/A,FALSE,"contents";#N/A,#N/A,FALSE,"balance sheet";#N/A,#N/A,FALSE,"income";#N/A,#N/A,FALSE,"cash flow";#N/A,#N/A,FALSE,"equity";#N/A,#N/A,FALSE,"notes";#N/A,#N/A,FALSE,"Expenses"}</definedName>
    <definedName name="ניתוח" localSheetId="6" hidden="1">{"a",#N/A,FALSE,"גיליון1";"b",#N/A,FALSE,"גיליון1"}</definedName>
    <definedName name="ניתוח" localSheetId="5" hidden="1">{"a",#N/A,FALSE,"גיליון1";"b",#N/A,FALSE,"גיליון1"}</definedName>
    <definedName name="ניתוח" localSheetId="4" hidden="1">{"a",#N/A,FALSE,"גיליון1";"b",#N/A,FALSE,"גיליון1"}</definedName>
    <definedName name="ניתוח" localSheetId="3" hidden="1">{"a",#N/A,FALSE,"גיליון1";"b",#N/A,FALSE,"גיליון1"}</definedName>
    <definedName name="ניתוח" hidden="1">{"a",#N/A,FALSE,"גיליון1";"b",#N/A,FALSE,"גיליון1"}</definedName>
    <definedName name="ניתוח_1" localSheetId="6" hidden="1">{"a",#N/A,FALSE,"גיליון1";"b",#N/A,FALSE,"גיליון1"}</definedName>
    <definedName name="ניתוח_1" localSheetId="5" hidden="1">{"a",#N/A,FALSE,"גיליון1";"b",#N/A,FALSE,"גיליון1"}</definedName>
    <definedName name="ניתוח_1" localSheetId="4" hidden="1">{"a",#N/A,FALSE,"גיליון1";"b",#N/A,FALSE,"גיליון1"}</definedName>
    <definedName name="ניתוח_1" localSheetId="3" hidden="1">{"a",#N/A,FALSE,"גיליון1";"b",#N/A,FALSE,"גיליון1"}</definedName>
    <definedName name="ניתוח_1" hidden="1">{"a",#N/A,FALSE,"גיליון1";"b",#N/A,FALSE,"גיליון1"}</definedName>
    <definedName name="פחת" localSheetId="6" hidden="1">{"Test",#N/A,FALSE,"Index";#N/A,"RISK",FALSE,"MarketProjection"}</definedName>
    <definedName name="פחת" localSheetId="5" hidden="1">{"Test",#N/A,FALSE,"Index";#N/A,"RISK",FALSE,"MarketProjection"}</definedName>
    <definedName name="פחת" localSheetId="4" hidden="1">{"Test",#N/A,FALSE,"Index";#N/A,"RISK",FALSE,"MarketProjection"}</definedName>
    <definedName name="פחת" localSheetId="3" hidden="1">{"Test",#N/A,FALSE,"Index";#N/A,"RISK",FALSE,"MarketProjection"}</definedName>
    <definedName name="פחת" hidden="1">{"Test",#N/A,FALSE,"Index";#N/A,"RISK",FALSE,"MarketProjection"}</definedName>
    <definedName name="פחת_1" localSheetId="6" hidden="1">{"Test",#N/A,FALSE,"Index";#N/A,"RISK",FALSE,"MarketProjection"}</definedName>
    <definedName name="פחת_1" localSheetId="5" hidden="1">{"Test",#N/A,FALSE,"Index";#N/A,"RISK",FALSE,"MarketProjection"}</definedName>
    <definedName name="פחת_1" localSheetId="4" hidden="1">{"Test",#N/A,FALSE,"Index";#N/A,"RISK",FALSE,"MarketProjection"}</definedName>
    <definedName name="פחת_1" localSheetId="3" hidden="1">{"Test",#N/A,FALSE,"Index";#N/A,"RISK",FALSE,"MarketProjection"}</definedName>
    <definedName name="פחת_1" hidden="1">{"Test",#N/A,FALSE,"Index";#N/A,"RISK",FALSE,"MarketProjection"}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04" i="8" l="1"/>
  <c r="L303" i="8"/>
  <c r="L302" i="8"/>
  <c r="L301" i="8"/>
  <c r="L300" i="8"/>
  <c r="L299" i="8"/>
  <c r="L298" i="8"/>
  <c r="L297" i="8"/>
  <c r="L296" i="8"/>
  <c r="L295" i="8"/>
  <c r="L294" i="8"/>
  <c r="L293" i="8"/>
  <c r="L292" i="8"/>
  <c r="L291" i="8"/>
  <c r="L290" i="8"/>
  <c r="L289" i="8"/>
  <c r="L288" i="8"/>
  <c r="L287" i="8"/>
  <c r="L286" i="8"/>
  <c r="L285" i="8"/>
  <c r="L284" i="8"/>
  <c r="L283" i="8"/>
  <c r="L282" i="8"/>
  <c r="L281" i="8"/>
  <c r="L280" i="8"/>
  <c r="L279" i="8"/>
  <c r="L278" i="8"/>
  <c r="L277" i="8"/>
  <c r="L276" i="8"/>
  <c r="L275" i="8"/>
  <c r="L274" i="8"/>
  <c r="L273" i="8"/>
  <c r="L272" i="8"/>
  <c r="L271" i="8"/>
  <c r="L270" i="8"/>
  <c r="L269" i="8"/>
  <c r="L268" i="8"/>
  <c r="L267" i="8"/>
  <c r="L266" i="8"/>
  <c r="L265" i="8"/>
  <c r="L264" i="8"/>
  <c r="L263" i="8"/>
  <c r="L262" i="8"/>
  <c r="L261" i="8"/>
  <c r="L260" i="8"/>
  <c r="L259" i="8"/>
  <c r="L258" i="8"/>
  <c r="L257" i="8"/>
  <c r="L256" i="8"/>
  <c r="L255" i="8"/>
  <c r="L254" i="8"/>
  <c r="L253" i="8"/>
  <c r="L252" i="8"/>
  <c r="L251" i="8"/>
  <c r="L250" i="8"/>
  <c r="L249" i="8"/>
  <c r="L248" i="8"/>
  <c r="L247" i="8"/>
  <c r="L246" i="8"/>
  <c r="L245" i="8"/>
  <c r="L244" i="8"/>
  <c r="L243" i="8"/>
  <c r="L242" i="8"/>
  <c r="L241" i="8"/>
  <c r="L240" i="8"/>
  <c r="L239" i="8"/>
  <c r="L238" i="8"/>
  <c r="L237" i="8"/>
  <c r="L236" i="8"/>
  <c r="L235" i="8"/>
  <c r="L234" i="8"/>
  <c r="L233" i="8"/>
  <c r="L232" i="8"/>
  <c r="L231" i="8"/>
  <c r="L230" i="8"/>
  <c r="L229" i="8"/>
  <c r="L228" i="8"/>
  <c r="L227" i="8"/>
  <c r="L226" i="8"/>
  <c r="L225" i="8"/>
  <c r="L224" i="8"/>
  <c r="L223" i="8"/>
  <c r="L222" i="8"/>
  <c r="L221" i="8"/>
  <c r="L220" i="8"/>
  <c r="L219" i="8"/>
  <c r="L218" i="8"/>
  <c r="L217" i="8"/>
  <c r="L216" i="8"/>
  <c r="L215" i="8"/>
  <c r="L214" i="8"/>
  <c r="L213" i="8"/>
  <c r="L212" i="8"/>
  <c r="L211" i="8"/>
  <c r="L210" i="8"/>
  <c r="L209" i="8"/>
  <c r="L208" i="8"/>
  <c r="L207" i="8"/>
  <c r="L206" i="8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L155" i="8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BV135" i="8"/>
  <c r="L135" i="8"/>
  <c r="BV134" i="8"/>
  <c r="L134" i="8"/>
  <c r="BV133" i="8"/>
  <c r="L133" i="8"/>
  <c r="BV132" i="8"/>
  <c r="L132" i="8"/>
  <c r="BV131" i="8"/>
  <c r="L131" i="8"/>
  <c r="BV130" i="8"/>
  <c r="L130" i="8"/>
  <c r="BV129" i="8"/>
  <c r="L129" i="8"/>
  <c r="BV128" i="8"/>
  <c r="L128" i="8"/>
  <c r="BV127" i="8"/>
  <c r="L127" i="8"/>
  <c r="BV126" i="8"/>
  <c r="L126" i="8"/>
  <c r="BV125" i="8"/>
  <c r="L125" i="8"/>
  <c r="BV124" i="8"/>
  <c r="L124" i="8"/>
  <c r="BV123" i="8"/>
  <c r="L123" i="8"/>
  <c r="BV122" i="8"/>
  <c r="L122" i="8"/>
  <c r="BV121" i="8"/>
  <c r="L121" i="8"/>
  <c r="BV120" i="8"/>
  <c r="L120" i="8"/>
  <c r="BV119" i="8"/>
  <c r="L119" i="8"/>
  <c r="BV118" i="8"/>
  <c r="L118" i="8"/>
  <c r="BV117" i="8"/>
  <c r="L117" i="8"/>
  <c r="BV116" i="8"/>
  <c r="L116" i="8"/>
  <c r="BV115" i="8"/>
  <c r="L115" i="8"/>
  <c r="BV114" i="8"/>
  <c r="L114" i="8"/>
  <c r="BV113" i="8"/>
  <c r="L113" i="8"/>
  <c r="BV112" i="8"/>
  <c r="L112" i="8"/>
  <c r="BV111" i="8"/>
  <c r="L111" i="8"/>
  <c r="BV110" i="8"/>
  <c r="L110" i="8"/>
  <c r="BV109" i="8"/>
  <c r="L109" i="8"/>
  <c r="BV108" i="8"/>
  <c r="L108" i="8"/>
  <c r="BV107" i="8"/>
  <c r="L107" i="8"/>
  <c r="BV106" i="8"/>
  <c r="L106" i="8"/>
  <c r="BV105" i="8"/>
  <c r="L105" i="8"/>
  <c r="BV104" i="8"/>
  <c r="L104" i="8"/>
  <c r="BV103" i="8"/>
  <c r="L103" i="8"/>
  <c r="BV102" i="8"/>
  <c r="L102" i="8"/>
  <c r="BV101" i="8"/>
  <c r="L101" i="8"/>
  <c r="BV100" i="8"/>
  <c r="L100" i="8"/>
  <c r="BV99" i="8"/>
  <c r="L99" i="8"/>
  <c r="BV98" i="8"/>
  <c r="L98" i="8"/>
  <c r="BV97" i="8"/>
  <c r="L97" i="8"/>
  <c r="BV96" i="8"/>
  <c r="L96" i="8"/>
  <c r="BV95" i="8"/>
  <c r="L95" i="8"/>
  <c r="BV94" i="8"/>
  <c r="L94" i="8"/>
  <c r="BV93" i="8"/>
  <c r="L93" i="8"/>
  <c r="BV92" i="8"/>
  <c r="L92" i="8"/>
  <c r="BV91" i="8"/>
  <c r="L91" i="8"/>
  <c r="BV90" i="8"/>
  <c r="L90" i="8"/>
  <c r="BV89" i="8"/>
  <c r="L89" i="8"/>
  <c r="BV88" i="8"/>
  <c r="L88" i="8"/>
  <c r="BV87" i="8"/>
  <c r="L87" i="8"/>
  <c r="BV86" i="8"/>
  <c r="L86" i="8"/>
  <c r="BV85" i="8"/>
  <c r="L85" i="8"/>
  <c r="BV84" i="8"/>
  <c r="L84" i="8"/>
  <c r="BV83" i="8"/>
  <c r="L83" i="8"/>
  <c r="BV82" i="8"/>
  <c r="L82" i="8"/>
  <c r="BV81" i="8"/>
  <c r="L81" i="8"/>
  <c r="BV80" i="8"/>
  <c r="L80" i="8"/>
  <c r="BV79" i="8"/>
  <c r="L79" i="8"/>
  <c r="BV78" i="8"/>
  <c r="L78" i="8"/>
  <c r="BV77" i="8"/>
  <c r="L77" i="8"/>
  <c r="BV76" i="8"/>
  <c r="L76" i="8"/>
  <c r="BV75" i="8"/>
  <c r="L75" i="8"/>
  <c r="BV74" i="8"/>
  <c r="L74" i="8"/>
  <c r="BV73" i="8"/>
  <c r="L73" i="8"/>
  <c r="BV72" i="8"/>
  <c r="L72" i="8"/>
  <c r="BV71" i="8"/>
  <c r="L71" i="8"/>
  <c r="BV70" i="8"/>
  <c r="L70" i="8"/>
  <c r="BV69" i="8"/>
  <c r="L69" i="8"/>
  <c r="BV68" i="8"/>
  <c r="L68" i="8"/>
  <c r="BV67" i="8"/>
  <c r="L67" i="8"/>
  <c r="BV66" i="8"/>
  <c r="L66" i="8"/>
  <c r="BV65" i="8"/>
  <c r="L65" i="8"/>
  <c r="BV64" i="8"/>
  <c r="L64" i="8"/>
  <c r="BV63" i="8"/>
  <c r="L63" i="8"/>
  <c r="BV62" i="8"/>
  <c r="L62" i="8"/>
  <c r="BV61" i="8"/>
  <c r="L61" i="8"/>
  <c r="BV60" i="8"/>
  <c r="L60" i="8"/>
  <c r="BV59" i="8"/>
  <c r="L59" i="8"/>
  <c r="BV58" i="8"/>
  <c r="L58" i="8"/>
  <c r="BV57" i="8"/>
  <c r="L57" i="8"/>
  <c r="BV56" i="8"/>
  <c r="L56" i="8"/>
  <c r="BV55" i="8"/>
  <c r="L55" i="8"/>
  <c r="BV54" i="8"/>
  <c r="L54" i="8"/>
  <c r="BV53" i="8"/>
  <c r="L53" i="8"/>
  <c r="BV52" i="8"/>
  <c r="L52" i="8"/>
  <c r="BV51" i="8"/>
  <c r="L51" i="8"/>
  <c r="BV50" i="8"/>
  <c r="L50" i="8"/>
  <c r="BV49" i="8"/>
  <c r="L49" i="8"/>
  <c r="BV48" i="8"/>
  <c r="L48" i="8"/>
  <c r="BV47" i="8"/>
  <c r="L47" i="8"/>
  <c r="BV46" i="8"/>
  <c r="L46" i="8"/>
  <c r="BV45" i="8"/>
  <c r="L45" i="8"/>
  <c r="BV44" i="8"/>
  <c r="L44" i="8"/>
  <c r="BV43" i="8"/>
  <c r="L43" i="8"/>
  <c r="BV42" i="8"/>
  <c r="L42" i="8"/>
  <c r="BV41" i="8"/>
  <c r="L41" i="8"/>
  <c r="BV40" i="8"/>
  <c r="L40" i="8"/>
  <c r="BV39" i="8"/>
  <c r="L39" i="8"/>
  <c r="BV38" i="8"/>
  <c r="L38" i="8"/>
  <c r="BV37" i="8"/>
  <c r="L37" i="8"/>
  <c r="BV36" i="8"/>
  <c r="L36" i="8"/>
  <c r="BV35" i="8"/>
  <c r="L35" i="8"/>
  <c r="BV34" i="8"/>
  <c r="L34" i="8"/>
  <c r="BV33" i="8"/>
  <c r="L33" i="8"/>
  <c r="BV32" i="8"/>
  <c r="L32" i="8"/>
  <c r="BV31" i="8"/>
  <c r="L31" i="8"/>
  <c r="BV30" i="8"/>
  <c r="L30" i="8"/>
  <c r="BV29" i="8"/>
  <c r="L29" i="8"/>
  <c r="S28" i="8"/>
  <c r="BN28" i="8" s="1"/>
  <c r="L28" i="8"/>
  <c r="H28" i="8"/>
  <c r="E28" i="8"/>
  <c r="S27" i="8"/>
  <c r="BR27" i="8" s="1"/>
  <c r="L27" i="8"/>
  <c r="H27" i="8"/>
  <c r="E27" i="8"/>
  <c r="S26" i="8"/>
  <c r="BN26" i="8" s="1"/>
  <c r="L26" i="8"/>
  <c r="H26" i="8"/>
  <c r="E26" i="8"/>
  <c r="S25" i="8"/>
  <c r="L25" i="8"/>
  <c r="H25" i="8"/>
  <c r="E25" i="8"/>
  <c r="S24" i="8"/>
  <c r="BN24" i="8" s="1"/>
  <c r="L24" i="8"/>
  <c r="H24" i="8"/>
  <c r="E24" i="8"/>
  <c r="S23" i="8"/>
  <c r="BT23" i="8" s="1"/>
  <c r="L23" i="8"/>
  <c r="H23" i="8"/>
  <c r="E23" i="8"/>
  <c r="S22" i="8"/>
  <c r="BM22" i="8" s="1"/>
  <c r="L22" i="8"/>
  <c r="H22" i="8"/>
  <c r="E22" i="8"/>
  <c r="S21" i="8"/>
  <c r="BS21" i="8" s="1"/>
  <c r="L21" i="8"/>
  <c r="H21" i="8"/>
  <c r="E21" i="8"/>
  <c r="S20" i="8"/>
  <c r="BP20" i="8" s="1"/>
  <c r="L20" i="8"/>
  <c r="H20" i="8"/>
  <c r="E20" i="8"/>
  <c r="S19" i="8"/>
  <c r="BK19" i="8" s="1"/>
  <c r="L19" i="8"/>
  <c r="H19" i="8"/>
  <c r="E19" i="8"/>
  <c r="S18" i="8"/>
  <c r="BM18" i="8" s="1"/>
  <c r="L18" i="8"/>
  <c r="H18" i="8"/>
  <c r="E18" i="8"/>
  <c r="S17" i="8"/>
  <c r="BM17" i="8" s="1"/>
  <c r="L17" i="8"/>
  <c r="H17" i="8"/>
  <c r="E17" i="8"/>
  <c r="S16" i="8"/>
  <c r="L16" i="8"/>
  <c r="H16" i="8"/>
  <c r="E16" i="8"/>
  <c r="S15" i="8"/>
  <c r="BQ15" i="8" s="1"/>
  <c r="L15" i="8"/>
  <c r="H15" i="8"/>
  <c r="E15" i="8"/>
  <c r="S14" i="8"/>
  <c r="L14" i="8"/>
  <c r="H14" i="8"/>
  <c r="E14" i="8"/>
  <c r="S13" i="8"/>
  <c r="BQ13" i="8" s="1"/>
  <c r="L13" i="8"/>
  <c r="H13" i="8"/>
  <c r="E13" i="8"/>
  <c r="S12" i="8"/>
  <c r="BT12" i="8" s="1"/>
  <c r="L12" i="8"/>
  <c r="H12" i="8"/>
  <c r="E12" i="8"/>
  <c r="S11" i="8"/>
  <c r="BK11" i="8" s="1"/>
  <c r="L11" i="8"/>
  <c r="H11" i="8"/>
  <c r="E11" i="8"/>
  <c r="S10" i="8"/>
  <c r="BN10" i="8" s="1"/>
  <c r="L10" i="8"/>
  <c r="H10" i="8"/>
  <c r="E10" i="8"/>
  <c r="S9" i="8"/>
  <c r="BT9" i="8" s="1"/>
  <c r="L9" i="8"/>
  <c r="H9" i="8"/>
  <c r="E9" i="8"/>
  <c r="S8" i="8"/>
  <c r="L8" i="8"/>
  <c r="H8" i="8"/>
  <c r="E8" i="8"/>
  <c r="S7" i="8"/>
  <c r="BQ7" i="8" s="1"/>
  <c r="L7" i="8"/>
  <c r="H7" i="8"/>
  <c r="E7" i="8"/>
  <c r="S6" i="8"/>
  <c r="BS6" i="8" s="1"/>
  <c r="L6" i="8"/>
  <c r="H6" i="8"/>
  <c r="E6" i="8"/>
  <c r="U5" i="8"/>
  <c r="S5" i="8"/>
  <c r="BT5" i="8" s="1"/>
  <c r="L5" i="8"/>
  <c r="H5" i="8"/>
  <c r="E5" i="8"/>
  <c r="U4" i="8"/>
  <c r="S4" i="8"/>
  <c r="BR4" i="8" s="1"/>
  <c r="L4" i="8"/>
  <c r="H4" i="8"/>
  <c r="E4" i="8"/>
  <c r="BZ1" i="8"/>
  <c r="B1" i="8"/>
  <c r="A4" i="8" l="1"/>
  <c r="BV4" i="8" s="1"/>
  <c r="A10" i="8"/>
  <c r="W10" i="8" s="1"/>
  <c r="A16" i="8"/>
  <c r="W16" i="8" s="1"/>
  <c r="BO19" i="8"/>
  <c r="BS23" i="8"/>
  <c r="A26" i="8"/>
  <c r="W26" i="8" s="1"/>
  <c r="A18" i="8"/>
  <c r="W18" i="8" s="1"/>
  <c r="BM19" i="8"/>
  <c r="BM20" i="8"/>
  <c r="BK23" i="8"/>
  <c r="A14" i="8"/>
  <c r="W14" i="8" s="1"/>
  <c r="BO23" i="8"/>
  <c r="BS20" i="8"/>
  <c r="BL22" i="8"/>
  <c r="BJ6" i="8"/>
  <c r="A8" i="8"/>
  <c r="W8" i="8" s="1"/>
  <c r="BM11" i="8"/>
  <c r="A15" i="8"/>
  <c r="BV15" i="8" s="1"/>
  <c r="BI15" i="8"/>
  <c r="A17" i="8"/>
  <c r="W17" i="8" s="1"/>
  <c r="A20" i="8"/>
  <c r="BV20" i="8" s="1"/>
  <c r="BI20" i="8"/>
  <c r="BT20" i="8"/>
  <c r="A28" i="8"/>
  <c r="W28" i="8" s="1"/>
  <c r="A9" i="8"/>
  <c r="W9" i="8" s="1"/>
  <c r="BQ11" i="8"/>
  <c r="BS15" i="8"/>
  <c r="BK20" i="8"/>
  <c r="BP17" i="8"/>
  <c r="BK6" i="8"/>
  <c r="BK7" i="8"/>
  <c r="BL9" i="8"/>
  <c r="BL15" i="8"/>
  <c r="BT15" i="8"/>
  <c r="BI17" i="8"/>
  <c r="BS17" i="8"/>
  <c r="BT22" i="8"/>
  <c r="A24" i="8"/>
  <c r="W24" i="8" s="1"/>
  <c r="A27" i="8"/>
  <c r="BV27" i="8" s="1"/>
  <c r="A5" i="8"/>
  <c r="BV5" i="8" s="1"/>
  <c r="BN6" i="8"/>
  <c r="BM7" i="8"/>
  <c r="BS9" i="8"/>
  <c r="A12" i="8"/>
  <c r="BV12" i="8" s="1"/>
  <c r="BM15" i="8"/>
  <c r="BK17" i="8"/>
  <c r="BT17" i="8"/>
  <c r="BO21" i="8"/>
  <c r="A25" i="8"/>
  <c r="W25" i="8" s="1"/>
  <c r="A23" i="8"/>
  <c r="BT14" i="8"/>
  <c r="BM14" i="8"/>
  <c r="BT16" i="8"/>
  <c r="BQ16" i="8"/>
  <c r="BS25" i="8"/>
  <c r="BT25" i="8"/>
  <c r="BR7" i="8"/>
  <c r="BT7" i="8"/>
  <c r="BO7" i="8"/>
  <c r="BI7" i="8"/>
  <c r="BP7" i="8"/>
  <c r="BM9" i="8"/>
  <c r="BR11" i="8"/>
  <c r="BT11" i="8"/>
  <c r="BO11" i="8"/>
  <c r="BI11" i="8"/>
  <c r="BP11" i="8"/>
  <c r="BK13" i="8"/>
  <c r="BI14" i="8"/>
  <c r="BI16" i="8"/>
  <c r="BL25" i="8"/>
  <c r="BT27" i="8"/>
  <c r="BJ27" i="8"/>
  <c r="BR9" i="8"/>
  <c r="BP9" i="8"/>
  <c r="BK9" i="8"/>
  <c r="BO9" i="8"/>
  <c r="BM16" i="8"/>
  <c r="BR22" i="8"/>
  <c r="BO22" i="8"/>
  <c r="BI22" i="8"/>
  <c r="BP22" i="8"/>
  <c r="BP25" i="8"/>
  <c r="BR13" i="8"/>
  <c r="BT13" i="8"/>
  <c r="BO13" i="8"/>
  <c r="BI13" i="8"/>
  <c r="BP13" i="8"/>
  <c r="BT18" i="8"/>
  <c r="BI18" i="8"/>
  <c r="BL13" i="8"/>
  <c r="BS13" i="8"/>
  <c r="BQ14" i="8"/>
  <c r="BQ18" i="8"/>
  <c r="BO6" i="8"/>
  <c r="BI6" i="8"/>
  <c r="BQ6" i="8"/>
  <c r="BL7" i="8"/>
  <c r="BS7" i="8"/>
  <c r="BI9" i="8"/>
  <c r="BQ9" i="8"/>
  <c r="BL11" i="8"/>
  <c r="BS11" i="8"/>
  <c r="BM13" i="8"/>
  <c r="BR15" i="8"/>
  <c r="BP15" i="8"/>
  <c r="BK15" i="8"/>
  <c r="BO15" i="8"/>
  <c r="BR17" i="8"/>
  <c r="BQ17" i="8"/>
  <c r="BL17" i="8"/>
  <c r="BO17" i="8"/>
  <c r="BR19" i="8"/>
  <c r="BQ19" i="8"/>
  <c r="BI19" i="8"/>
  <c r="BS19" i="8"/>
  <c r="BR20" i="8"/>
  <c r="BQ20" i="8"/>
  <c r="BL20" i="8"/>
  <c r="BO20" i="8"/>
  <c r="BT21" i="8"/>
  <c r="BK21" i="8"/>
  <c r="BK22" i="8"/>
  <c r="BQ22" i="8"/>
  <c r="A6" i="8"/>
  <c r="W6" i="8" s="1"/>
  <c r="A11" i="8"/>
  <c r="W11" i="8" s="1"/>
  <c r="A19" i="8"/>
  <c r="BV19" i="8" s="1"/>
  <c r="A21" i="8"/>
  <c r="W21" i="8" s="1"/>
  <c r="A22" i="8"/>
  <c r="BV22" i="8" s="1"/>
  <c r="BJ4" i="8"/>
  <c r="BO4" i="8"/>
  <c r="BT4" i="8"/>
  <c r="BL5" i="8"/>
  <c r="BQ5" i="8"/>
  <c r="BT8" i="8"/>
  <c r="BP8" i="8"/>
  <c r="BL8" i="8"/>
  <c r="BS8" i="8"/>
  <c r="BO8" i="8"/>
  <c r="BK8" i="8"/>
  <c r="BJ8" i="8"/>
  <c r="BR8" i="8"/>
  <c r="BQ10" i="8"/>
  <c r="BM10" i="8"/>
  <c r="BI10" i="8"/>
  <c r="BT10" i="8"/>
  <c r="BP10" i="8"/>
  <c r="BL10" i="8"/>
  <c r="BS10" i="8"/>
  <c r="BO10" i="8"/>
  <c r="BK10" i="8"/>
  <c r="BR10" i="8"/>
  <c r="W4" i="8"/>
  <c r="BK4" i="8"/>
  <c r="BP4" i="8"/>
  <c r="BM5" i="8"/>
  <c r="BS5" i="8"/>
  <c r="BT6" i="8"/>
  <c r="BP6" i="8"/>
  <c r="BL6" i="8"/>
  <c r="BM6" i="8"/>
  <c r="BR6" i="8"/>
  <c r="BM8" i="8"/>
  <c r="BV10" i="8"/>
  <c r="BL4" i="8"/>
  <c r="BI5" i="8"/>
  <c r="BO5" i="8"/>
  <c r="A7" i="8"/>
  <c r="BN8" i="8"/>
  <c r="BJ10" i="8"/>
  <c r="BQ4" i="8"/>
  <c r="BM4" i="8"/>
  <c r="BI4" i="8"/>
  <c r="BN4" i="8"/>
  <c r="BS4" i="8"/>
  <c r="BR5" i="8"/>
  <c r="BN5" i="8"/>
  <c r="BJ5" i="8"/>
  <c r="BK5" i="8"/>
  <c r="BP5" i="8"/>
  <c r="BI8" i="8"/>
  <c r="BQ8" i="8"/>
  <c r="BL12" i="8"/>
  <c r="BQ12" i="8"/>
  <c r="BJ7" i="8"/>
  <c r="BN7" i="8"/>
  <c r="BJ9" i="8"/>
  <c r="BN9" i="8"/>
  <c r="BJ11" i="8"/>
  <c r="BN11" i="8"/>
  <c r="BM12" i="8"/>
  <c r="BS12" i="8"/>
  <c r="BI12" i="8"/>
  <c r="BO12" i="8"/>
  <c r="A13" i="8"/>
  <c r="BR12" i="8"/>
  <c r="BN12" i="8"/>
  <c r="BJ12" i="8"/>
  <c r="BK12" i="8"/>
  <c r="BP12" i="8"/>
  <c r="BJ14" i="8"/>
  <c r="BN14" i="8"/>
  <c r="BR14" i="8"/>
  <c r="BJ16" i="8"/>
  <c r="BN16" i="8"/>
  <c r="BR16" i="8"/>
  <c r="BV16" i="8"/>
  <c r="BJ18" i="8"/>
  <c r="BN18" i="8"/>
  <c r="BR18" i="8"/>
  <c r="BV18" i="8"/>
  <c r="W23" i="8"/>
  <c r="BV23" i="8"/>
  <c r="BK14" i="8"/>
  <c r="BO14" i="8"/>
  <c r="BS14" i="8"/>
  <c r="BK16" i="8"/>
  <c r="BO16" i="8"/>
  <c r="BS16" i="8"/>
  <c r="BK18" i="8"/>
  <c r="BO18" i="8"/>
  <c r="BS18" i="8"/>
  <c r="W20" i="8"/>
  <c r="BJ13" i="8"/>
  <c r="BN13" i="8"/>
  <c r="BL14" i="8"/>
  <c r="BP14" i="8"/>
  <c r="BJ15" i="8"/>
  <c r="BN15" i="8"/>
  <c r="BL16" i="8"/>
  <c r="BP16" i="8"/>
  <c r="BJ17" i="8"/>
  <c r="BN17" i="8"/>
  <c r="BL18" i="8"/>
  <c r="BP18" i="8"/>
  <c r="W22" i="8"/>
  <c r="BI21" i="8"/>
  <c r="BM21" i="8"/>
  <c r="BQ21" i="8"/>
  <c r="BS22" i="8"/>
  <c r="BI23" i="8"/>
  <c r="BM23" i="8"/>
  <c r="BQ23" i="8"/>
  <c r="BJ26" i="8"/>
  <c r="BL19" i="8"/>
  <c r="BP19" i="8"/>
  <c r="BT19" i="8"/>
  <c r="BJ21" i="8"/>
  <c r="BN21" i="8"/>
  <c r="BR21" i="8"/>
  <c r="BJ23" i="8"/>
  <c r="BN23" i="8"/>
  <c r="BR23" i="8"/>
  <c r="BQ24" i="8"/>
  <c r="BM24" i="8"/>
  <c r="BI24" i="8"/>
  <c r="BT24" i="8"/>
  <c r="BP24" i="8"/>
  <c r="BL24" i="8"/>
  <c r="BS24" i="8"/>
  <c r="BO24" i="8"/>
  <c r="BK24" i="8"/>
  <c r="BR24" i="8"/>
  <c r="BQ26" i="8"/>
  <c r="BM26" i="8"/>
  <c r="BI26" i="8"/>
  <c r="BT26" i="8"/>
  <c r="BP26" i="8"/>
  <c r="BL26" i="8"/>
  <c r="BS26" i="8"/>
  <c r="BO26" i="8"/>
  <c r="BK26" i="8"/>
  <c r="BR26" i="8"/>
  <c r="BJ19" i="8"/>
  <c r="BN19" i="8"/>
  <c r="BJ20" i="8"/>
  <c r="BN20" i="8"/>
  <c r="BL21" i="8"/>
  <c r="BP21" i="8"/>
  <c r="BJ22" i="8"/>
  <c r="BN22" i="8"/>
  <c r="BL23" i="8"/>
  <c r="BP23" i="8"/>
  <c r="BJ24" i="8"/>
  <c r="BI25" i="8"/>
  <c r="BM25" i="8"/>
  <c r="BQ25" i="8"/>
  <c r="BL27" i="8"/>
  <c r="BJ25" i="8"/>
  <c r="BN25" i="8"/>
  <c r="BR25" i="8"/>
  <c r="BS27" i="8"/>
  <c r="BO27" i="8"/>
  <c r="BK27" i="8"/>
  <c r="BQ27" i="8"/>
  <c r="BM27" i="8"/>
  <c r="BI27" i="8"/>
  <c r="BN27" i="8"/>
  <c r="BJ28" i="8"/>
  <c r="BK25" i="8"/>
  <c r="BO25" i="8"/>
  <c r="BP27" i="8"/>
  <c r="BQ28" i="8"/>
  <c r="BM28" i="8"/>
  <c r="BI28" i="8"/>
  <c r="BT28" i="8"/>
  <c r="BP28" i="8"/>
  <c r="BL28" i="8"/>
  <c r="BS28" i="8"/>
  <c r="BO28" i="8"/>
  <c r="BK28" i="8"/>
  <c r="BR28" i="8"/>
  <c r="W27" i="8" l="1"/>
  <c r="BV25" i="8"/>
  <c r="BV26" i="8"/>
  <c r="BV14" i="8"/>
  <c r="BV17" i="8"/>
  <c r="BV8" i="8"/>
  <c r="BV28" i="8"/>
  <c r="BV9" i="8"/>
  <c r="W12" i="8"/>
  <c r="W15" i="8"/>
  <c r="W5" i="8"/>
  <c r="BU22" i="8"/>
  <c r="BF22" i="8" s="1"/>
  <c r="BV21" i="8"/>
  <c r="BV6" i="8"/>
  <c r="BV24" i="8"/>
  <c r="BU20" i="8"/>
  <c r="BB20" i="8" s="1"/>
  <c r="W19" i="8"/>
  <c r="BU14" i="8"/>
  <c r="AO14" i="8" s="1"/>
  <c r="BU9" i="8"/>
  <c r="AQ9" i="8" s="1"/>
  <c r="BU7" i="8"/>
  <c r="AN7" i="8" s="1"/>
  <c r="BV11" i="8"/>
  <c r="BU6" i="8"/>
  <c r="BH6" i="8" s="1"/>
  <c r="BU19" i="8"/>
  <c r="AX19" i="8" s="1"/>
  <c r="BU17" i="8"/>
  <c r="AY17" i="8" s="1"/>
  <c r="BU15" i="8"/>
  <c r="BA15" i="8" s="1"/>
  <c r="BU13" i="8"/>
  <c r="BF13" i="8" s="1"/>
  <c r="BU27" i="8"/>
  <c r="AY27" i="8" s="1"/>
  <c r="BU16" i="8"/>
  <c r="BH16" i="8" s="1"/>
  <c r="BU18" i="8"/>
  <c r="AW18" i="8" s="1"/>
  <c r="BU11" i="8"/>
  <c r="BC11" i="8" s="1"/>
  <c r="BF15" i="8"/>
  <c r="AZ6" i="8"/>
  <c r="BE6" i="8"/>
  <c r="AM6" i="8"/>
  <c r="AK6" i="8"/>
  <c r="AR6" i="8"/>
  <c r="BU28" i="8"/>
  <c r="BU25" i="8"/>
  <c r="BU24" i="8"/>
  <c r="BV7" i="8"/>
  <c r="W7" i="8"/>
  <c r="BU26" i="8"/>
  <c r="BV13" i="8"/>
  <c r="W13" i="8"/>
  <c r="BU8" i="8"/>
  <c r="BU4" i="8"/>
  <c r="BU10" i="8"/>
  <c r="BU23" i="8"/>
  <c r="BU12" i="8"/>
  <c r="BU21" i="8"/>
  <c r="BU5" i="8"/>
  <c r="AL17" i="8" l="1"/>
  <c r="AT27" i="8"/>
  <c r="BG6" i="8"/>
  <c r="BH14" i="8"/>
  <c r="AW22" i="8"/>
  <c r="AM17" i="8"/>
  <c r="BE22" i="8"/>
  <c r="BG22" i="8"/>
  <c r="AN22" i="8"/>
  <c r="AW20" i="8"/>
  <c r="BA6" i="8"/>
  <c r="AV14" i="8"/>
  <c r="BD22" i="8"/>
  <c r="AL6" i="8"/>
  <c r="BC6" i="8"/>
  <c r="AT22" i="8"/>
  <c r="AN6" i="8"/>
  <c r="BF6" i="8"/>
  <c r="AO6" i="8"/>
  <c r="AX14" i="8"/>
  <c r="AO17" i="8"/>
  <c r="AQ22" i="8"/>
  <c r="BH22" i="8"/>
  <c r="AU27" i="8"/>
  <c r="BE17" i="8"/>
  <c r="AV11" i="8"/>
  <c r="BB27" i="8"/>
  <c r="AZ17" i="8"/>
  <c r="BC17" i="8"/>
  <c r="BD17" i="8"/>
  <c r="AX17" i="8"/>
  <c r="BG17" i="8"/>
  <c r="BA20" i="8"/>
  <c r="AR18" i="8"/>
  <c r="AP20" i="8"/>
  <c r="AZ27" i="8"/>
  <c r="AN17" i="8"/>
  <c r="AS17" i="8"/>
  <c r="AQ17" i="8"/>
  <c r="AM20" i="8"/>
  <c r="AY16" i="8"/>
  <c r="AR20" i="8"/>
  <c r="AP22" i="8"/>
  <c r="AU22" i="8"/>
  <c r="AR22" i="8"/>
  <c r="AO22" i="8"/>
  <c r="AX22" i="8"/>
  <c r="AV20" i="8"/>
  <c r="AL22" i="8"/>
  <c r="AY22" i="8"/>
  <c r="AZ22" i="8"/>
  <c r="AS22" i="8"/>
  <c r="BB22" i="8"/>
  <c r="BH9" i="8"/>
  <c r="AV9" i="8"/>
  <c r="AM9" i="8"/>
  <c r="AK15" i="8"/>
  <c r="BA7" i="8"/>
  <c r="AR16" i="8"/>
  <c r="AQ11" i="8"/>
  <c r="AL19" i="8"/>
  <c r="AY13" i="8"/>
  <c r="BC7" i="8"/>
  <c r="BF9" i="8"/>
  <c r="AW19" i="8"/>
  <c r="AK13" i="8"/>
  <c r="AM22" i="8"/>
  <c r="BC22" i="8"/>
  <c r="AV22" i="8"/>
  <c r="AK22" i="8"/>
  <c r="BA22" i="8"/>
  <c r="AO11" i="8"/>
  <c r="AZ18" i="8"/>
  <c r="AU18" i="8"/>
  <c r="AK18" i="8"/>
  <c r="AQ18" i="8"/>
  <c r="BE18" i="8"/>
  <c r="BF18" i="8"/>
  <c r="BD7" i="8"/>
  <c r="AQ19" i="8"/>
  <c r="AX7" i="8"/>
  <c r="AN19" i="8"/>
  <c r="AQ16" i="8"/>
  <c r="BC16" i="8"/>
  <c r="AR13" i="8"/>
  <c r="AO13" i="8"/>
  <c r="AT7" i="8"/>
  <c r="AM7" i="8"/>
  <c r="AP9" i="8"/>
  <c r="AS9" i="8"/>
  <c r="BC9" i="8"/>
  <c r="BA19" i="8"/>
  <c r="BD19" i="8"/>
  <c r="AT16" i="8"/>
  <c r="AU13" i="8"/>
  <c r="BE13" i="8"/>
  <c r="AS11" i="8"/>
  <c r="AZ11" i="8"/>
  <c r="BB18" i="8"/>
  <c r="AO18" i="8"/>
  <c r="AP7" i="8"/>
  <c r="AS7" i="8"/>
  <c r="AT9" i="8"/>
  <c r="BA9" i="8"/>
  <c r="BG9" i="8"/>
  <c r="AM15" i="8"/>
  <c r="AM19" i="8"/>
  <c r="BH19" i="8"/>
  <c r="BA16" i="8"/>
  <c r="AP13" i="8"/>
  <c r="BC13" i="8"/>
  <c r="BB13" i="8"/>
  <c r="AM11" i="8"/>
  <c r="AU7" i="8"/>
  <c r="AL16" i="8"/>
  <c r="AW16" i="8"/>
  <c r="AZ16" i="8"/>
  <c r="BF16" i="8"/>
  <c r="AK16" i="8"/>
  <c r="AO16" i="8"/>
  <c r="AM16" i="8"/>
  <c r="AV16" i="8"/>
  <c r="BD16" i="8"/>
  <c r="BB16" i="8"/>
  <c r="AS16" i="8"/>
  <c r="AN16" i="8"/>
  <c r="AP16" i="8"/>
  <c r="BG16" i="8"/>
  <c r="AX16" i="8"/>
  <c r="BE16" i="8"/>
  <c r="AU16" i="8"/>
  <c r="BE7" i="8"/>
  <c r="AZ7" i="8"/>
  <c r="AY7" i="8"/>
  <c r="AV7" i="8"/>
  <c r="BF7" i="8"/>
  <c r="AW7" i="8"/>
  <c r="BG7" i="8"/>
  <c r="AQ7" i="8"/>
  <c r="AO7" i="8"/>
  <c r="BB7" i="8"/>
  <c r="BH7" i="8"/>
  <c r="AR7" i="8"/>
  <c r="AK7" i="8"/>
  <c r="AL7" i="8"/>
  <c r="AQ6" i="8"/>
  <c r="AP6" i="8"/>
  <c r="AW6" i="8"/>
  <c r="AS6" i="8"/>
  <c r="AT6" i="8"/>
  <c r="BD6" i="8"/>
  <c r="AN9" i="8"/>
  <c r="AK9" i="8"/>
  <c r="BE9" i="8"/>
  <c r="AV19" i="8"/>
  <c r="AP19" i="8"/>
  <c r="BC19" i="8"/>
  <c r="AY19" i="8"/>
  <c r="AL13" i="8"/>
  <c r="AZ13" i="8"/>
  <c r="AN13" i="8"/>
  <c r="AW13" i="8"/>
  <c r="AY20" i="8"/>
  <c r="BH20" i="8"/>
  <c r="AT11" i="8"/>
  <c r="BE11" i="8"/>
  <c r="BH11" i="8"/>
  <c r="AR11" i="8"/>
  <c r="AY11" i="8"/>
  <c r="BF11" i="8"/>
  <c r="BA11" i="8"/>
  <c r="AK11" i="8"/>
  <c r="BD11" i="8"/>
  <c r="AN11" i="8"/>
  <c r="AU11" i="8"/>
  <c r="BB11" i="8"/>
  <c r="AW11" i="8"/>
  <c r="AP11" i="8"/>
  <c r="AX13" i="8"/>
  <c r="AS13" i="8"/>
  <c r="AV13" i="8"/>
  <c r="AM13" i="8"/>
  <c r="BG13" i="8"/>
  <c r="AT13" i="8"/>
  <c r="BB19" i="8"/>
  <c r="AZ19" i="8"/>
  <c r="BE19" i="8"/>
  <c r="AU19" i="8"/>
  <c r="AK19" i="8"/>
  <c r="AT19" i="8"/>
  <c r="AU9" i="8"/>
  <c r="BB9" i="8"/>
  <c r="AW9" i="8"/>
  <c r="AZ9" i="8"/>
  <c r="BD9" i="8"/>
  <c r="AL9" i="8"/>
  <c r="AX20" i="8"/>
  <c r="AS20" i="8"/>
  <c r="BD20" i="8"/>
  <c r="AN20" i="8"/>
  <c r="AU20" i="8"/>
  <c r="AT20" i="8"/>
  <c r="BE20" i="8"/>
  <c r="AO20" i="8"/>
  <c r="AZ20" i="8"/>
  <c r="BG20" i="8"/>
  <c r="AQ20" i="8"/>
  <c r="AL20" i="8"/>
  <c r="AV6" i="8"/>
  <c r="AU6" i="8"/>
  <c r="BB6" i="8"/>
  <c r="AX6" i="8"/>
  <c r="AY6" i="8"/>
  <c r="AR9" i="8"/>
  <c r="AO9" i="8"/>
  <c r="AX9" i="8"/>
  <c r="AY9" i="8"/>
  <c r="AR19" i="8"/>
  <c r="AS19" i="8"/>
  <c r="AO19" i="8"/>
  <c r="BG19" i="8"/>
  <c r="BF19" i="8"/>
  <c r="AQ13" i="8"/>
  <c r="BH13" i="8"/>
  <c r="BD13" i="8"/>
  <c r="BA13" i="8"/>
  <c r="BC20" i="8"/>
  <c r="AK20" i="8"/>
  <c r="BF20" i="8"/>
  <c r="AL11" i="8"/>
  <c r="AX11" i="8"/>
  <c r="BG11" i="8"/>
  <c r="AN18" i="8"/>
  <c r="BG18" i="8"/>
  <c r="BA18" i="8"/>
  <c r="AP14" i="8"/>
  <c r="BB14" i="8"/>
  <c r="AL15" i="8"/>
  <c r="BC15" i="8"/>
  <c r="AO15" i="8"/>
  <c r="AW27" i="8"/>
  <c r="AO27" i="8"/>
  <c r="BE27" i="8"/>
  <c r="BF27" i="8"/>
  <c r="AV27" i="8"/>
  <c r="AS27" i="8"/>
  <c r="AP27" i="8"/>
  <c r="AQ27" i="8"/>
  <c r="BG27" i="8"/>
  <c r="BA27" i="8"/>
  <c r="AX27" i="8"/>
  <c r="AR27" i="8"/>
  <c r="BB15" i="8"/>
  <c r="AW15" i="8"/>
  <c r="BH15" i="8"/>
  <c r="AR15" i="8"/>
  <c r="AY15" i="8"/>
  <c r="AP15" i="8"/>
  <c r="AX15" i="8"/>
  <c r="AS15" i="8"/>
  <c r="BD15" i="8"/>
  <c r="AN15" i="8"/>
  <c r="AU15" i="8"/>
  <c r="AT15" i="8"/>
  <c r="BD14" i="8"/>
  <c r="AY14" i="8"/>
  <c r="AW14" i="8"/>
  <c r="BA14" i="8"/>
  <c r="AL14" i="8"/>
  <c r="AR14" i="8"/>
  <c r="AZ14" i="8"/>
  <c r="BF14" i="8"/>
  <c r="AS14" i="8"/>
  <c r="AK14" i="8"/>
  <c r="AU14" i="8"/>
  <c r="AQ14" i="8"/>
  <c r="AL27" i="8"/>
  <c r="AM27" i="8"/>
  <c r="AN27" i="8"/>
  <c r="BH27" i="8"/>
  <c r="AN14" i="8"/>
  <c r="AM14" i="8"/>
  <c r="BC14" i="8"/>
  <c r="AQ15" i="8"/>
  <c r="AV15" i="8"/>
  <c r="AK27" i="8"/>
  <c r="BD27" i="8"/>
  <c r="BC27" i="8"/>
  <c r="AT14" i="8"/>
  <c r="BE14" i="8"/>
  <c r="BG14" i="8"/>
  <c r="BG15" i="8"/>
  <c r="AZ15" i="8"/>
  <c r="BE15" i="8"/>
  <c r="AP17" i="8"/>
  <c r="AR17" i="8"/>
  <c r="BH17" i="8"/>
  <c r="AW17" i="8"/>
  <c r="BB17" i="8"/>
  <c r="AU17" i="8"/>
  <c r="AV18" i="8"/>
  <c r="AP18" i="8"/>
  <c r="AL18" i="8"/>
  <c r="AY18" i="8"/>
  <c r="BD18" i="8"/>
  <c r="AS18" i="8"/>
  <c r="AT17" i="8"/>
  <c r="AV17" i="8"/>
  <c r="AK17" i="8"/>
  <c r="BA17" i="8"/>
  <c r="BF17" i="8"/>
  <c r="AT18" i="8"/>
  <c r="AM18" i="8"/>
  <c r="AX18" i="8"/>
  <c r="BC18" i="8"/>
  <c r="BH18" i="8"/>
  <c r="BE28" i="8"/>
  <c r="BA28" i="8"/>
  <c r="AW28" i="8"/>
  <c r="BH28" i="8"/>
  <c r="BD28" i="8"/>
  <c r="AZ28" i="8"/>
  <c r="BG28" i="8"/>
  <c r="BC28" i="8"/>
  <c r="AY28" i="8"/>
  <c r="BB28" i="8"/>
  <c r="AX28" i="8"/>
  <c r="BF28" i="8"/>
  <c r="AO28" i="8"/>
  <c r="AQ28" i="8"/>
  <c r="AP28" i="8"/>
  <c r="AM28" i="8"/>
  <c r="AT28" i="8"/>
  <c r="AN28" i="8"/>
  <c r="AU28" i="8"/>
  <c r="AK28" i="8"/>
  <c r="AV28" i="8"/>
  <c r="AS28" i="8"/>
  <c r="AR28" i="8"/>
  <c r="AL28" i="8"/>
  <c r="BF12" i="8"/>
  <c r="BB12" i="8"/>
  <c r="AX12" i="8"/>
  <c r="BE12" i="8"/>
  <c r="AZ12" i="8"/>
  <c r="BD12" i="8"/>
  <c r="AY12" i="8"/>
  <c r="BH12" i="8"/>
  <c r="BC12" i="8"/>
  <c r="AW12" i="8"/>
  <c r="BG12" i="8"/>
  <c r="BA12" i="8"/>
  <c r="AN12" i="8"/>
  <c r="AK12" i="8"/>
  <c r="AL12" i="8"/>
  <c r="AM12" i="8"/>
  <c r="AR12" i="8"/>
  <c r="AO12" i="8"/>
  <c r="AP12" i="8"/>
  <c r="AT12" i="8"/>
  <c r="AQ12" i="8"/>
  <c r="AS12" i="8"/>
  <c r="AU12" i="8"/>
  <c r="AV12" i="8"/>
  <c r="BH4" i="8"/>
  <c r="BC4" i="8"/>
  <c r="AX4" i="8"/>
  <c r="BE4" i="8"/>
  <c r="AT4" i="8"/>
  <c r="BF4" i="8"/>
  <c r="AL4" i="8"/>
  <c r="BG4" i="8"/>
  <c r="AK4" i="8"/>
  <c r="AO4" i="8"/>
  <c r="BA4" i="8"/>
  <c r="AY4" i="8"/>
  <c r="AP4" i="8"/>
  <c r="AQ4" i="8"/>
  <c r="AM4" i="8"/>
  <c r="AZ4" i="8"/>
  <c r="AW4" i="8"/>
  <c r="BD4" i="8"/>
  <c r="AU4" i="8"/>
  <c r="AV4" i="8"/>
  <c r="AS4" i="8"/>
  <c r="AR4" i="8"/>
  <c r="AN4" i="8"/>
  <c r="BB4" i="8"/>
  <c r="BH21" i="8"/>
  <c r="BD21" i="8"/>
  <c r="AZ21" i="8"/>
  <c r="BG21" i="8"/>
  <c r="BC21" i="8"/>
  <c r="AY21" i="8"/>
  <c r="AU21" i="8"/>
  <c r="AQ21" i="8"/>
  <c r="AM21" i="8"/>
  <c r="BF21" i="8"/>
  <c r="BB21" i="8"/>
  <c r="AX21" i="8"/>
  <c r="BE21" i="8"/>
  <c r="BA21" i="8"/>
  <c r="AW21" i="8"/>
  <c r="AN21" i="8"/>
  <c r="AL21" i="8"/>
  <c r="AS21" i="8"/>
  <c r="AK21" i="8"/>
  <c r="AR21" i="8"/>
  <c r="AT21" i="8"/>
  <c r="AO21" i="8"/>
  <c r="AP21" i="8"/>
  <c r="AV21" i="8"/>
  <c r="BE10" i="8"/>
  <c r="BA10" i="8"/>
  <c r="AW10" i="8"/>
  <c r="BH10" i="8"/>
  <c r="BD10" i="8"/>
  <c r="AZ10" i="8"/>
  <c r="BG10" i="8"/>
  <c r="BC10" i="8"/>
  <c r="AY10" i="8"/>
  <c r="AX10" i="8"/>
  <c r="BF10" i="8"/>
  <c r="AP10" i="8"/>
  <c r="BB10" i="8"/>
  <c r="AK10" i="8"/>
  <c r="AV10" i="8"/>
  <c r="AM10" i="8"/>
  <c r="AQ10" i="8"/>
  <c r="AR10" i="8"/>
  <c r="AL10" i="8"/>
  <c r="AT10" i="8"/>
  <c r="AS10" i="8"/>
  <c r="AN10" i="8"/>
  <c r="AU10" i="8"/>
  <c r="AO10" i="8"/>
  <c r="BE24" i="8"/>
  <c r="BA24" i="8"/>
  <c r="AW24" i="8"/>
  <c r="BH24" i="8"/>
  <c r="BD24" i="8"/>
  <c r="AZ24" i="8"/>
  <c r="BG24" i="8"/>
  <c r="BC24" i="8"/>
  <c r="AY24" i="8"/>
  <c r="BF24" i="8"/>
  <c r="AP24" i="8"/>
  <c r="BB24" i="8"/>
  <c r="AX24" i="8"/>
  <c r="AO24" i="8"/>
  <c r="AQ24" i="8"/>
  <c r="AK24" i="8"/>
  <c r="AV24" i="8"/>
  <c r="AM24" i="8"/>
  <c r="AT24" i="8"/>
  <c r="AN24" i="8"/>
  <c r="AU24" i="8"/>
  <c r="AR24" i="8"/>
  <c r="AL24" i="8"/>
  <c r="AS24" i="8"/>
  <c r="BE5" i="8"/>
  <c r="AZ5" i="8"/>
  <c r="BD5" i="8"/>
  <c r="AY5" i="8"/>
  <c r="BH5" i="8"/>
  <c r="BC5" i="8"/>
  <c r="AW5" i="8"/>
  <c r="BG5" i="8"/>
  <c r="BA5" i="8"/>
  <c r="AQ5" i="8"/>
  <c r="AM5" i="8"/>
  <c r="AT5" i="8"/>
  <c r="AU5" i="8"/>
  <c r="AS5" i="8"/>
  <c r="AO5" i="8"/>
  <c r="AV5" i="8"/>
  <c r="AR5" i="8"/>
  <c r="AP5" i="8"/>
  <c r="BB5" i="8"/>
  <c r="BF5" i="8"/>
  <c r="AN5" i="8"/>
  <c r="AL5" i="8"/>
  <c r="AX5" i="8"/>
  <c r="AK5" i="8"/>
  <c r="BH23" i="8"/>
  <c r="BD23" i="8"/>
  <c r="AZ23" i="8"/>
  <c r="BG23" i="8"/>
  <c r="BC23" i="8"/>
  <c r="AY23" i="8"/>
  <c r="AU23" i="8"/>
  <c r="AQ23" i="8"/>
  <c r="AM23" i="8"/>
  <c r="BF23" i="8"/>
  <c r="BB23" i="8"/>
  <c r="AX23" i="8"/>
  <c r="BE23" i="8"/>
  <c r="BA23" i="8"/>
  <c r="AW23" i="8"/>
  <c r="AK23" i="8"/>
  <c r="AP23" i="8"/>
  <c r="AV23" i="8"/>
  <c r="AR23" i="8"/>
  <c r="AO23" i="8"/>
  <c r="AT23" i="8"/>
  <c r="AS23" i="8"/>
  <c r="AN23" i="8"/>
  <c r="AL23" i="8"/>
  <c r="BH8" i="8"/>
  <c r="BD8" i="8"/>
  <c r="AZ8" i="8"/>
  <c r="BG8" i="8"/>
  <c r="BC8" i="8"/>
  <c r="AY8" i="8"/>
  <c r="BA8" i="8"/>
  <c r="BF8" i="8"/>
  <c r="AX8" i="8"/>
  <c r="BE8" i="8"/>
  <c r="AW8" i="8"/>
  <c r="BB8" i="8"/>
  <c r="AV8" i="8"/>
  <c r="AM8" i="8"/>
  <c r="AS8" i="8"/>
  <c r="AK8" i="8"/>
  <c r="AR8" i="8"/>
  <c r="AL8" i="8"/>
  <c r="AO8" i="8"/>
  <c r="AP8" i="8"/>
  <c r="AN8" i="8"/>
  <c r="AU8" i="8"/>
  <c r="AT8" i="8"/>
  <c r="AQ8" i="8"/>
  <c r="BG25" i="8"/>
  <c r="BC25" i="8"/>
  <c r="AY25" i="8"/>
  <c r="BF25" i="8"/>
  <c r="BB25" i="8"/>
  <c r="AX25" i="8"/>
  <c r="BE25" i="8"/>
  <c r="BA25" i="8"/>
  <c r="AW25" i="8"/>
  <c r="AZ25" i="8"/>
  <c r="AV25" i="8"/>
  <c r="BH25" i="8"/>
  <c r="AR25" i="8"/>
  <c r="BD25" i="8"/>
  <c r="AN25" i="8"/>
  <c r="AO25" i="8"/>
  <c r="AL25" i="8"/>
  <c r="AU25" i="8"/>
  <c r="AS25" i="8"/>
  <c r="AP25" i="8"/>
  <c r="AK25" i="8"/>
  <c r="AQ25" i="8"/>
  <c r="AT25" i="8"/>
  <c r="AM25" i="8"/>
  <c r="BE26" i="8"/>
  <c r="BA26" i="8"/>
  <c r="AW26" i="8"/>
  <c r="BH26" i="8"/>
  <c r="BD26" i="8"/>
  <c r="AZ26" i="8"/>
  <c r="BG26" i="8"/>
  <c r="BC26" i="8"/>
  <c r="AY26" i="8"/>
  <c r="BF26" i="8"/>
  <c r="BB26" i="8"/>
  <c r="AX26" i="8"/>
  <c r="AK26" i="8"/>
  <c r="AV26" i="8"/>
  <c r="AM26" i="8"/>
  <c r="AT26" i="8"/>
  <c r="AR26" i="8"/>
  <c r="AL26" i="8"/>
  <c r="AQ26" i="8"/>
  <c r="AP26" i="8"/>
  <c r="AS26" i="8"/>
  <c r="AN26" i="8"/>
  <c r="AU26" i="8"/>
  <c r="AO26" i="8"/>
  <c r="BW26" i="8" l="1"/>
  <c r="BW22" i="8"/>
  <c r="BW18" i="8"/>
  <c r="BW10" i="8"/>
  <c r="BW6" i="8"/>
  <c r="BW15" i="8"/>
  <c r="AI10" i="8" l="1"/>
  <c r="AH10" i="8"/>
  <c r="AA10" i="8"/>
  <c r="AC10" i="8"/>
  <c r="AG10" i="8"/>
  <c r="AB10" i="8"/>
  <c r="AD10" i="8"/>
  <c r="Z10" i="8"/>
  <c r="Y10" i="8"/>
  <c r="AE10" i="8"/>
  <c r="AJ10" i="8"/>
  <c r="AF10" i="8"/>
  <c r="AI18" i="8"/>
  <c r="AB18" i="8"/>
  <c r="AE18" i="8"/>
  <c r="AD18" i="8"/>
  <c r="Y18" i="8"/>
  <c r="AH18" i="8"/>
  <c r="Z18" i="8"/>
  <c r="AF18" i="8"/>
  <c r="AC18" i="8"/>
  <c r="AG18" i="8"/>
  <c r="AA18" i="8"/>
  <c r="AJ18" i="8"/>
  <c r="AA15" i="8"/>
  <c r="AJ15" i="8"/>
  <c r="AE15" i="8"/>
  <c r="Y15" i="8"/>
  <c r="AB15" i="8"/>
  <c r="AC15" i="8"/>
  <c r="AG15" i="8"/>
  <c r="AH15" i="8"/>
  <c r="AD15" i="8"/>
  <c r="Z15" i="8"/>
  <c r="AI15" i="8"/>
  <c r="AF15" i="8"/>
  <c r="Y22" i="8"/>
  <c r="AE22" i="8"/>
  <c r="AI22" i="8"/>
  <c r="AH22" i="8"/>
  <c r="AJ22" i="8"/>
  <c r="AG22" i="8"/>
  <c r="AB22" i="8"/>
  <c r="Z22" i="8"/>
  <c r="AC22" i="8"/>
  <c r="AF22" i="8"/>
  <c r="AD22" i="8"/>
  <c r="AA22" i="8"/>
  <c r="AB6" i="8"/>
  <c r="AI6" i="8"/>
  <c r="AC6" i="8"/>
  <c r="AH6" i="8"/>
  <c r="Y6" i="8"/>
  <c r="AE6" i="8"/>
  <c r="AA6" i="8"/>
  <c r="AG6" i="8"/>
  <c r="AD6" i="8"/>
  <c r="AF6" i="8"/>
  <c r="AJ6" i="8"/>
  <c r="Z6" i="8"/>
  <c r="AB26" i="8"/>
  <c r="AH26" i="8"/>
  <c r="Z26" i="8"/>
  <c r="AI26" i="8"/>
  <c r="AJ26" i="8"/>
  <c r="AG26" i="8"/>
  <c r="Y26" i="8"/>
  <c r="AC26" i="8"/>
  <c r="AE26" i="8"/>
  <c r="AF26" i="8"/>
  <c r="AD26" i="8"/>
  <c r="AA26" i="8"/>
  <c r="X22" i="8" l="1"/>
  <c r="X15" i="8"/>
  <c r="X26" i="8"/>
  <c r="X6" i="8"/>
  <c r="X18" i="8"/>
  <c r="X10" i="8"/>
  <c r="BW14" i="8" l="1"/>
  <c r="BW25" i="8"/>
  <c r="BW21" i="8"/>
  <c r="BW9" i="8"/>
  <c r="BW5" i="8"/>
  <c r="BW19" i="8"/>
  <c r="BW28" i="8"/>
  <c r="AF9" i="8" l="1"/>
  <c r="AE9" i="8"/>
  <c r="AJ9" i="8"/>
  <c r="AH9" i="8"/>
  <c r="AA9" i="8"/>
  <c r="Y9" i="8"/>
  <c r="Z9" i="8"/>
  <c r="AC9" i="8"/>
  <c r="AG9" i="8"/>
  <c r="AI9" i="8"/>
  <c r="AB9" i="8"/>
  <c r="AD9" i="8"/>
  <c r="AJ28" i="8"/>
  <c r="AB28" i="8"/>
  <c r="AI28" i="8"/>
  <c r="AC28" i="8"/>
  <c r="AA28" i="8"/>
  <c r="AF28" i="8"/>
  <c r="AH28" i="8"/>
  <c r="AG28" i="8"/>
  <c r="Z28" i="8"/>
  <c r="AD28" i="8"/>
  <c r="AE28" i="8"/>
  <c r="Y28" i="8"/>
  <c r="AC21" i="8"/>
  <c r="AG21" i="8"/>
  <c r="Z21" i="8"/>
  <c r="AD21" i="8"/>
  <c r="AB21" i="8"/>
  <c r="AA21" i="8"/>
  <c r="AF21" i="8"/>
  <c r="Y21" i="8"/>
  <c r="AJ21" i="8"/>
  <c r="AE21" i="8"/>
  <c r="AI21" i="8"/>
  <c r="AH21" i="8"/>
  <c r="AC19" i="8"/>
  <c r="AE19" i="8"/>
  <c r="AI19" i="8"/>
  <c r="Y19" i="8"/>
  <c r="AJ19" i="8"/>
  <c r="AG19" i="8"/>
  <c r="Z19" i="8"/>
  <c r="AA19" i="8"/>
  <c r="AH19" i="8"/>
  <c r="AF19" i="8"/>
  <c r="AD19" i="8"/>
  <c r="AB19" i="8"/>
  <c r="AC25" i="8"/>
  <c r="Y25" i="8"/>
  <c r="AA25" i="8"/>
  <c r="AE25" i="8"/>
  <c r="AH25" i="8"/>
  <c r="AD25" i="8"/>
  <c r="AG25" i="8"/>
  <c r="AJ25" i="8"/>
  <c r="Z25" i="8"/>
  <c r="AB25" i="8"/>
  <c r="AF25" i="8"/>
  <c r="AI25" i="8"/>
  <c r="AF5" i="8"/>
  <c r="AJ5" i="8"/>
  <c r="AB5" i="8"/>
  <c r="Z5" i="8"/>
  <c r="AH5" i="8"/>
  <c r="AI5" i="8"/>
  <c r="AD5" i="8"/>
  <c r="Y5" i="8"/>
  <c r="AG5" i="8"/>
  <c r="AC5" i="8"/>
  <c r="AE5" i="8"/>
  <c r="AA5" i="8"/>
  <c r="AC14" i="8"/>
  <c r="AG14" i="8"/>
  <c r="AE14" i="8"/>
  <c r="AI14" i="8"/>
  <c r="AB14" i="8"/>
  <c r="AD14" i="8"/>
  <c r="Z14" i="8"/>
  <c r="Y14" i="8"/>
  <c r="AJ14" i="8"/>
  <c r="AA14" i="8"/>
  <c r="AF14" i="8"/>
  <c r="AH14" i="8"/>
  <c r="X19" i="8" l="1"/>
  <c r="X28" i="8"/>
  <c r="X25" i="8"/>
  <c r="X9" i="8"/>
  <c r="X14" i="8"/>
  <c r="X5" i="8"/>
  <c r="X21" i="8"/>
  <c r="BW23" i="8" l="1"/>
  <c r="BW11" i="8"/>
  <c r="BW7" i="8"/>
  <c r="BW16" i="8"/>
  <c r="BW27" i="8"/>
  <c r="BW13" i="8"/>
  <c r="BW24" i="8"/>
  <c r="BW20" i="8"/>
  <c r="BW8" i="8"/>
  <c r="BW4" i="8"/>
  <c r="AJ16" i="8" l="1"/>
  <c r="AG16" i="8"/>
  <c r="AD16" i="8"/>
  <c r="AF16" i="8"/>
  <c r="AH16" i="8"/>
  <c r="AE16" i="8"/>
  <c r="Y16" i="8"/>
  <c r="AC16" i="8"/>
  <c r="AA16" i="8"/>
  <c r="Z16" i="8"/>
  <c r="AB16" i="8"/>
  <c r="AI16" i="8"/>
  <c r="AI24" i="8"/>
  <c r="AD24" i="8"/>
  <c r="AF24" i="8"/>
  <c r="AJ24" i="8"/>
  <c r="AC24" i="8"/>
  <c r="AA24" i="8"/>
  <c r="AH24" i="8"/>
  <c r="AG24" i="8"/>
  <c r="AE24" i="8"/>
  <c r="Z24" i="8"/>
  <c r="AB24" i="8"/>
  <c r="Y24" i="8"/>
  <c r="X24" i="8" s="1"/>
  <c r="AG7" i="8"/>
  <c r="AE7" i="8"/>
  <c r="AC7" i="8"/>
  <c r="AF7" i="8"/>
  <c r="Z7" i="8"/>
  <c r="AB7" i="8"/>
  <c r="AH7" i="8"/>
  <c r="Y7" i="8"/>
  <c r="AI7" i="8"/>
  <c r="AD7" i="8"/>
  <c r="AA7" i="8"/>
  <c r="AJ7" i="8"/>
  <c r="AJ4" i="8"/>
  <c r="AD4" i="8"/>
  <c r="AB4" i="8"/>
  <c r="Z4" i="8"/>
  <c r="AF4" i="8"/>
  <c r="Y4" i="8"/>
  <c r="AI4" i="8"/>
  <c r="AE4" i="8"/>
  <c r="AC4" i="8"/>
  <c r="AH4" i="8"/>
  <c r="AA4" i="8"/>
  <c r="AG4" i="8"/>
  <c r="AA13" i="8"/>
  <c r="AG13" i="8"/>
  <c r="AE13" i="8"/>
  <c r="AF13" i="8"/>
  <c r="AJ13" i="8"/>
  <c r="AI13" i="8"/>
  <c r="AC13" i="8"/>
  <c r="AD13" i="8"/>
  <c r="AB13" i="8"/>
  <c r="Y13" i="8"/>
  <c r="AH13" i="8"/>
  <c r="Z13" i="8"/>
  <c r="Z11" i="8"/>
  <c r="AC11" i="8"/>
  <c r="AG11" i="8"/>
  <c r="AF11" i="8"/>
  <c r="AD11" i="8"/>
  <c r="AE11" i="8"/>
  <c r="AB11" i="8"/>
  <c r="Y11" i="8"/>
  <c r="AI11" i="8"/>
  <c r="AA11" i="8"/>
  <c r="AJ11" i="8"/>
  <c r="AH11" i="8"/>
  <c r="AF20" i="8"/>
  <c r="AI20" i="8"/>
  <c r="AE20" i="8"/>
  <c r="AD20" i="8"/>
  <c r="AJ20" i="8"/>
  <c r="Y20" i="8"/>
  <c r="AC20" i="8"/>
  <c r="AG20" i="8"/>
  <c r="Z20" i="8"/>
  <c r="AA20" i="8"/>
  <c r="AB20" i="8"/>
  <c r="AH20" i="8"/>
  <c r="BW17" i="8"/>
  <c r="BW12" i="8"/>
  <c r="AF8" i="8"/>
  <c r="AH8" i="8"/>
  <c r="AE8" i="8"/>
  <c r="AD8" i="8"/>
  <c r="AJ8" i="8"/>
  <c r="Y8" i="8"/>
  <c r="X8" i="8" s="1"/>
  <c r="AA8" i="8"/>
  <c r="AI8" i="8"/>
  <c r="AB8" i="8"/>
  <c r="AC8" i="8"/>
  <c r="Z8" i="8"/>
  <c r="AG8" i="8"/>
  <c r="AH27" i="8"/>
  <c r="AA27" i="8"/>
  <c r="AI27" i="8"/>
  <c r="AB27" i="8"/>
  <c r="Y27" i="8"/>
  <c r="AE27" i="8"/>
  <c r="Z27" i="8"/>
  <c r="AD27" i="8"/>
  <c r="AJ27" i="8"/>
  <c r="AC27" i="8"/>
  <c r="AG27" i="8"/>
  <c r="AF27" i="8"/>
  <c r="AB23" i="8"/>
  <c r="AC23" i="8"/>
  <c r="AG23" i="8"/>
  <c r="AF23" i="8"/>
  <c r="Y23" i="8"/>
  <c r="AJ23" i="8"/>
  <c r="AI23" i="8"/>
  <c r="AD23" i="8"/>
  <c r="Z23" i="8"/>
  <c r="AH23" i="8"/>
  <c r="AE23" i="8"/>
  <c r="AA23" i="8"/>
  <c r="X7" i="8" l="1"/>
  <c r="X11" i="8"/>
  <c r="X23" i="8"/>
  <c r="X27" i="8"/>
  <c r="X16" i="8"/>
  <c r="Y12" i="8"/>
  <c r="AJ12" i="8"/>
  <c r="Z12" i="8"/>
  <c r="AD12" i="8"/>
  <c r="AG12" i="8"/>
  <c r="AE12" i="8"/>
  <c r="AA12" i="8"/>
  <c r="AB12" i="8"/>
  <c r="AI12" i="8"/>
  <c r="AH12" i="8"/>
  <c r="AC12" i="8"/>
  <c r="AF12" i="8"/>
  <c r="X20" i="8"/>
  <c r="X13" i="8"/>
  <c r="X4" i="8"/>
  <c r="AA17" i="8"/>
  <c r="AG17" i="8"/>
  <c r="AJ17" i="8"/>
  <c r="AI17" i="8"/>
  <c r="AC17" i="8"/>
  <c r="Y17" i="8"/>
  <c r="AE17" i="8"/>
  <c r="AF17" i="8"/>
  <c r="Z17" i="8"/>
  <c r="AH17" i="8"/>
  <c r="AD17" i="8"/>
  <c r="AB17" i="8"/>
  <c r="X17" i="8" l="1"/>
  <c r="X12" i="8"/>
  <c r="X1" i="8" s="1"/>
  <c r="CA222" i="7" l="1"/>
  <c r="BZ222" i="7"/>
  <c r="BY222" i="7"/>
  <c r="BX222" i="7"/>
  <c r="BW222" i="7"/>
  <c r="BV222" i="7"/>
  <c r="BT222" i="7"/>
  <c r="BS222" i="7"/>
  <c r="BR222" i="7"/>
  <c r="BQ222" i="7"/>
  <c r="BP222" i="7"/>
  <c r="W222" i="7"/>
  <c r="G222" i="7"/>
  <c r="CA221" i="7"/>
  <c r="BZ221" i="7"/>
  <c r="BY221" i="7"/>
  <c r="BX221" i="7"/>
  <c r="BW221" i="7"/>
  <c r="BV221" i="7"/>
  <c r="BT221" i="7"/>
  <c r="BS221" i="7"/>
  <c r="BR221" i="7"/>
  <c r="BQ221" i="7"/>
  <c r="BP221" i="7"/>
  <c r="G221" i="7"/>
  <c r="CA220" i="7"/>
  <c r="BZ220" i="7"/>
  <c r="BY220" i="7"/>
  <c r="BX220" i="7"/>
  <c r="BW220" i="7"/>
  <c r="BV220" i="7"/>
  <c r="BT220" i="7"/>
  <c r="BS220" i="7"/>
  <c r="BR220" i="7"/>
  <c r="BQ220" i="7"/>
  <c r="BP220" i="7"/>
  <c r="G220" i="7"/>
  <c r="CA219" i="7"/>
  <c r="BZ219" i="7"/>
  <c r="BY219" i="7"/>
  <c r="BX219" i="7"/>
  <c r="BW219" i="7"/>
  <c r="BV219" i="7"/>
  <c r="BT219" i="7"/>
  <c r="BS219" i="7"/>
  <c r="BR219" i="7"/>
  <c r="BQ219" i="7"/>
  <c r="BP219" i="7"/>
  <c r="G219" i="7"/>
  <c r="CA218" i="7"/>
  <c r="BZ218" i="7"/>
  <c r="BY218" i="7"/>
  <c r="BX218" i="7"/>
  <c r="BW218" i="7"/>
  <c r="BV218" i="7"/>
  <c r="BT218" i="7"/>
  <c r="BS218" i="7"/>
  <c r="BR218" i="7"/>
  <c r="BQ218" i="7"/>
  <c r="BP218" i="7"/>
  <c r="G218" i="7"/>
  <c r="CA217" i="7"/>
  <c r="BZ217" i="7"/>
  <c r="BY217" i="7"/>
  <c r="BX217" i="7"/>
  <c r="BW217" i="7"/>
  <c r="BV217" i="7"/>
  <c r="BT217" i="7"/>
  <c r="BS217" i="7"/>
  <c r="BR217" i="7"/>
  <c r="BQ217" i="7"/>
  <c r="BP217" i="7"/>
  <c r="G217" i="7"/>
  <c r="CA216" i="7"/>
  <c r="BZ216" i="7"/>
  <c r="BY216" i="7"/>
  <c r="BX216" i="7"/>
  <c r="BW216" i="7"/>
  <c r="BV216" i="7"/>
  <c r="BT216" i="7"/>
  <c r="BS216" i="7"/>
  <c r="BR216" i="7"/>
  <c r="BQ216" i="7"/>
  <c r="BP216" i="7"/>
  <c r="CA215" i="7"/>
  <c r="BZ215" i="7"/>
  <c r="BY215" i="7"/>
  <c r="BX215" i="7"/>
  <c r="BW215" i="7"/>
  <c r="BV215" i="7"/>
  <c r="BT215" i="7"/>
  <c r="BS215" i="7"/>
  <c r="BR215" i="7"/>
  <c r="BQ215" i="7"/>
  <c r="BP215" i="7"/>
  <c r="CA214" i="7"/>
  <c r="BZ214" i="7"/>
  <c r="BY214" i="7"/>
  <c r="BX214" i="7"/>
  <c r="BW214" i="7"/>
  <c r="BV214" i="7"/>
  <c r="BT214" i="7"/>
  <c r="BS214" i="7"/>
  <c r="BR214" i="7"/>
  <c r="BQ214" i="7"/>
  <c r="BU214" i="7" s="1"/>
  <c r="BP214" i="7"/>
  <c r="CA213" i="7"/>
  <c r="BZ213" i="7"/>
  <c r="BY213" i="7"/>
  <c r="BX213" i="7"/>
  <c r="BW213" i="7"/>
  <c r="BV213" i="7"/>
  <c r="BT213" i="7"/>
  <c r="BS213" i="7"/>
  <c r="BR213" i="7"/>
  <c r="BQ213" i="7"/>
  <c r="BP213" i="7"/>
  <c r="CA212" i="7"/>
  <c r="BZ212" i="7"/>
  <c r="BY212" i="7"/>
  <c r="BX212" i="7"/>
  <c r="BW212" i="7"/>
  <c r="BV212" i="7"/>
  <c r="BT212" i="7"/>
  <c r="BS212" i="7"/>
  <c r="BR212" i="7"/>
  <c r="BQ212" i="7"/>
  <c r="BP212" i="7"/>
  <c r="CA211" i="7"/>
  <c r="BZ211" i="7"/>
  <c r="BY211" i="7"/>
  <c r="BX211" i="7"/>
  <c r="BW211" i="7"/>
  <c r="BV211" i="7"/>
  <c r="BT211" i="7"/>
  <c r="BS211" i="7"/>
  <c r="BR211" i="7"/>
  <c r="BQ211" i="7"/>
  <c r="BP211" i="7"/>
  <c r="CA210" i="7"/>
  <c r="BZ210" i="7"/>
  <c r="BY210" i="7"/>
  <c r="BX210" i="7"/>
  <c r="BW210" i="7"/>
  <c r="BV210" i="7"/>
  <c r="BT210" i="7"/>
  <c r="BS210" i="7"/>
  <c r="BR210" i="7"/>
  <c r="BQ210" i="7"/>
  <c r="BU210" i="7" s="1"/>
  <c r="BP210" i="7"/>
  <c r="CA209" i="7"/>
  <c r="BZ209" i="7"/>
  <c r="BY209" i="7"/>
  <c r="BX209" i="7"/>
  <c r="BW209" i="7"/>
  <c r="BV209" i="7"/>
  <c r="BT209" i="7"/>
  <c r="BS209" i="7"/>
  <c r="BR209" i="7"/>
  <c r="BQ209" i="7"/>
  <c r="BP209" i="7"/>
  <c r="CA208" i="7"/>
  <c r="BZ208" i="7"/>
  <c r="BY208" i="7"/>
  <c r="BX208" i="7"/>
  <c r="BW208" i="7"/>
  <c r="BV208" i="7"/>
  <c r="BT208" i="7"/>
  <c r="BS208" i="7"/>
  <c r="BR208" i="7"/>
  <c r="BQ208" i="7"/>
  <c r="BP208" i="7"/>
  <c r="CA207" i="7"/>
  <c r="BZ207" i="7"/>
  <c r="BY207" i="7"/>
  <c r="BX207" i="7"/>
  <c r="BW207" i="7"/>
  <c r="BV207" i="7"/>
  <c r="BT207" i="7"/>
  <c r="BS207" i="7"/>
  <c r="BR207" i="7"/>
  <c r="BQ207" i="7"/>
  <c r="BP207" i="7"/>
  <c r="CA206" i="7"/>
  <c r="BZ206" i="7"/>
  <c r="BY206" i="7"/>
  <c r="BX206" i="7"/>
  <c r="BW206" i="7"/>
  <c r="BV206" i="7"/>
  <c r="BT206" i="7"/>
  <c r="BS206" i="7"/>
  <c r="BR206" i="7"/>
  <c r="BQ206" i="7"/>
  <c r="BU206" i="7" s="1"/>
  <c r="BP206" i="7"/>
  <c r="CA205" i="7"/>
  <c r="BZ205" i="7"/>
  <c r="BY205" i="7"/>
  <c r="BX205" i="7"/>
  <c r="BW205" i="7"/>
  <c r="BV205" i="7"/>
  <c r="BT205" i="7"/>
  <c r="BS205" i="7"/>
  <c r="BR205" i="7"/>
  <c r="BQ205" i="7"/>
  <c r="BP205" i="7"/>
  <c r="CA204" i="7"/>
  <c r="BZ204" i="7"/>
  <c r="BY204" i="7"/>
  <c r="BX204" i="7"/>
  <c r="BW204" i="7"/>
  <c r="BV204" i="7"/>
  <c r="BT204" i="7"/>
  <c r="BS204" i="7"/>
  <c r="BR204" i="7"/>
  <c r="BQ204" i="7"/>
  <c r="BP204" i="7"/>
  <c r="CA203" i="7"/>
  <c r="BZ203" i="7"/>
  <c r="BY203" i="7"/>
  <c r="BX203" i="7"/>
  <c r="BW203" i="7"/>
  <c r="BV203" i="7"/>
  <c r="BT203" i="7"/>
  <c r="BS203" i="7"/>
  <c r="BR203" i="7"/>
  <c r="BQ203" i="7"/>
  <c r="BP203" i="7"/>
  <c r="CA202" i="7"/>
  <c r="BZ202" i="7"/>
  <c r="BY202" i="7"/>
  <c r="BX202" i="7"/>
  <c r="BW202" i="7"/>
  <c r="BV202" i="7"/>
  <c r="BT202" i="7"/>
  <c r="BS202" i="7"/>
  <c r="BR202" i="7"/>
  <c r="BQ202" i="7"/>
  <c r="BP202" i="7"/>
  <c r="CA201" i="7"/>
  <c r="BZ201" i="7"/>
  <c r="BY201" i="7"/>
  <c r="BX201" i="7"/>
  <c r="BW201" i="7"/>
  <c r="BV201" i="7"/>
  <c r="BT201" i="7"/>
  <c r="BS201" i="7"/>
  <c r="BR201" i="7"/>
  <c r="BQ201" i="7"/>
  <c r="BP201" i="7"/>
  <c r="CA200" i="7"/>
  <c r="BZ200" i="7"/>
  <c r="BY200" i="7"/>
  <c r="BX200" i="7"/>
  <c r="BW200" i="7"/>
  <c r="BV200" i="7"/>
  <c r="BT200" i="7"/>
  <c r="BS200" i="7"/>
  <c r="BR200" i="7"/>
  <c r="BQ200" i="7"/>
  <c r="BP200" i="7"/>
  <c r="CA199" i="7"/>
  <c r="BZ199" i="7"/>
  <c r="BY199" i="7"/>
  <c r="BX199" i="7"/>
  <c r="BW199" i="7"/>
  <c r="BV199" i="7"/>
  <c r="BT199" i="7"/>
  <c r="BS199" i="7"/>
  <c r="BR199" i="7"/>
  <c r="BQ199" i="7"/>
  <c r="BP199" i="7"/>
  <c r="CA198" i="7"/>
  <c r="BZ198" i="7"/>
  <c r="BY198" i="7"/>
  <c r="BX198" i="7"/>
  <c r="BW198" i="7"/>
  <c r="BV198" i="7"/>
  <c r="BT198" i="7"/>
  <c r="BS198" i="7"/>
  <c r="BR198" i="7"/>
  <c r="BQ198" i="7"/>
  <c r="BU198" i="7" s="1"/>
  <c r="BP198" i="7"/>
  <c r="CA197" i="7"/>
  <c r="BZ197" i="7"/>
  <c r="BY197" i="7"/>
  <c r="BX197" i="7"/>
  <c r="BW197" i="7"/>
  <c r="BV197" i="7"/>
  <c r="BT197" i="7"/>
  <c r="BS197" i="7"/>
  <c r="BR197" i="7"/>
  <c r="BQ197" i="7"/>
  <c r="BP197" i="7"/>
  <c r="CA196" i="7"/>
  <c r="BZ196" i="7"/>
  <c r="BY196" i="7"/>
  <c r="BX196" i="7"/>
  <c r="BW196" i="7"/>
  <c r="BV196" i="7"/>
  <c r="BT196" i="7"/>
  <c r="BS196" i="7"/>
  <c r="BR196" i="7"/>
  <c r="BQ196" i="7"/>
  <c r="BP196" i="7"/>
  <c r="CA195" i="7"/>
  <c r="BZ195" i="7"/>
  <c r="BY195" i="7"/>
  <c r="BX195" i="7"/>
  <c r="BW195" i="7"/>
  <c r="BV195" i="7"/>
  <c r="BT195" i="7"/>
  <c r="BS195" i="7"/>
  <c r="BR195" i="7"/>
  <c r="BQ195" i="7"/>
  <c r="BP195" i="7"/>
  <c r="CA194" i="7"/>
  <c r="BZ194" i="7"/>
  <c r="BY194" i="7"/>
  <c r="BX194" i="7"/>
  <c r="BW194" i="7"/>
  <c r="BV194" i="7"/>
  <c r="BT194" i="7"/>
  <c r="BS194" i="7"/>
  <c r="BR194" i="7"/>
  <c r="BQ194" i="7"/>
  <c r="BU194" i="7" s="1"/>
  <c r="BP194" i="7"/>
  <c r="CA193" i="7"/>
  <c r="BZ193" i="7"/>
  <c r="BY193" i="7"/>
  <c r="BX193" i="7"/>
  <c r="BW193" i="7"/>
  <c r="BV193" i="7"/>
  <c r="BT193" i="7"/>
  <c r="BS193" i="7"/>
  <c r="BR193" i="7"/>
  <c r="BQ193" i="7"/>
  <c r="BP193" i="7"/>
  <c r="CA192" i="7"/>
  <c r="BZ192" i="7"/>
  <c r="BY192" i="7"/>
  <c r="BX192" i="7"/>
  <c r="BW192" i="7"/>
  <c r="BV192" i="7"/>
  <c r="BT192" i="7"/>
  <c r="BS192" i="7"/>
  <c r="BR192" i="7"/>
  <c r="BQ192" i="7"/>
  <c r="BP192" i="7"/>
  <c r="CA191" i="7"/>
  <c r="BZ191" i="7"/>
  <c r="BY191" i="7"/>
  <c r="BX191" i="7"/>
  <c r="BW191" i="7"/>
  <c r="BV191" i="7"/>
  <c r="BT191" i="7"/>
  <c r="BS191" i="7"/>
  <c r="BR191" i="7"/>
  <c r="BQ191" i="7"/>
  <c r="BP191" i="7"/>
  <c r="CA190" i="7"/>
  <c r="BZ190" i="7"/>
  <c r="BY190" i="7"/>
  <c r="BX190" i="7"/>
  <c r="BW190" i="7"/>
  <c r="BV190" i="7"/>
  <c r="BT190" i="7"/>
  <c r="BS190" i="7"/>
  <c r="BR190" i="7"/>
  <c r="BQ190" i="7"/>
  <c r="BU190" i="7" s="1"/>
  <c r="BP190" i="7"/>
  <c r="CA189" i="7"/>
  <c r="BZ189" i="7"/>
  <c r="BY189" i="7"/>
  <c r="BX189" i="7"/>
  <c r="BW189" i="7"/>
  <c r="BV189" i="7"/>
  <c r="BT189" i="7"/>
  <c r="BS189" i="7"/>
  <c r="BR189" i="7"/>
  <c r="BQ189" i="7"/>
  <c r="BP189" i="7"/>
  <c r="CA188" i="7"/>
  <c r="BZ188" i="7"/>
  <c r="BY188" i="7"/>
  <c r="BX188" i="7"/>
  <c r="BW188" i="7"/>
  <c r="BV188" i="7"/>
  <c r="BT188" i="7"/>
  <c r="BS188" i="7"/>
  <c r="BR188" i="7"/>
  <c r="BQ188" i="7"/>
  <c r="BP188" i="7"/>
  <c r="CA187" i="7"/>
  <c r="BZ187" i="7"/>
  <c r="BY187" i="7"/>
  <c r="BX187" i="7"/>
  <c r="BW187" i="7"/>
  <c r="BV187" i="7"/>
  <c r="BT187" i="7"/>
  <c r="BS187" i="7"/>
  <c r="BR187" i="7"/>
  <c r="BQ187" i="7"/>
  <c r="BP187" i="7"/>
  <c r="CA186" i="7"/>
  <c r="BZ186" i="7"/>
  <c r="BY186" i="7"/>
  <c r="BX186" i="7"/>
  <c r="BW186" i="7"/>
  <c r="BV186" i="7"/>
  <c r="BT186" i="7"/>
  <c r="BS186" i="7"/>
  <c r="BR186" i="7"/>
  <c r="BQ186" i="7"/>
  <c r="BU186" i="7" s="1"/>
  <c r="BP186" i="7"/>
  <c r="CA185" i="7"/>
  <c r="BZ185" i="7"/>
  <c r="BY185" i="7"/>
  <c r="BX185" i="7"/>
  <c r="BW185" i="7"/>
  <c r="BV185" i="7"/>
  <c r="BT185" i="7"/>
  <c r="BS185" i="7"/>
  <c r="BR185" i="7"/>
  <c r="BQ185" i="7"/>
  <c r="BP185" i="7"/>
  <c r="CA184" i="7"/>
  <c r="BZ184" i="7"/>
  <c r="BY184" i="7"/>
  <c r="BX184" i="7"/>
  <c r="BW184" i="7"/>
  <c r="BV184" i="7"/>
  <c r="BT184" i="7"/>
  <c r="BS184" i="7"/>
  <c r="BR184" i="7"/>
  <c r="BQ184" i="7"/>
  <c r="BP184" i="7"/>
  <c r="CA183" i="7"/>
  <c r="BZ183" i="7"/>
  <c r="BY183" i="7"/>
  <c r="BX183" i="7"/>
  <c r="BW183" i="7"/>
  <c r="BV183" i="7"/>
  <c r="BT183" i="7"/>
  <c r="BS183" i="7"/>
  <c r="BR183" i="7"/>
  <c r="BQ183" i="7"/>
  <c r="BP183" i="7"/>
  <c r="CA182" i="7"/>
  <c r="BZ182" i="7"/>
  <c r="BY182" i="7"/>
  <c r="BX182" i="7"/>
  <c r="BW182" i="7"/>
  <c r="BV182" i="7"/>
  <c r="BT182" i="7"/>
  <c r="BS182" i="7"/>
  <c r="BR182" i="7"/>
  <c r="BQ182" i="7"/>
  <c r="BU182" i="7" s="1"/>
  <c r="BP182" i="7"/>
  <c r="CA181" i="7"/>
  <c r="BZ181" i="7"/>
  <c r="BY181" i="7"/>
  <c r="BX181" i="7"/>
  <c r="BW181" i="7"/>
  <c r="BV181" i="7"/>
  <c r="BT181" i="7"/>
  <c r="BS181" i="7"/>
  <c r="BR181" i="7"/>
  <c r="BQ181" i="7"/>
  <c r="BP181" i="7"/>
  <c r="CA180" i="7"/>
  <c r="BZ180" i="7"/>
  <c r="BY180" i="7"/>
  <c r="BX180" i="7"/>
  <c r="BW180" i="7"/>
  <c r="BV180" i="7"/>
  <c r="BT180" i="7"/>
  <c r="BS180" i="7"/>
  <c r="BR180" i="7"/>
  <c r="BQ180" i="7"/>
  <c r="BP180" i="7"/>
  <c r="CA179" i="7"/>
  <c r="BZ179" i="7"/>
  <c r="BY179" i="7"/>
  <c r="BX179" i="7"/>
  <c r="BW179" i="7"/>
  <c r="BV179" i="7"/>
  <c r="BT179" i="7"/>
  <c r="BS179" i="7"/>
  <c r="BR179" i="7"/>
  <c r="BQ179" i="7"/>
  <c r="BP179" i="7"/>
  <c r="CA178" i="7"/>
  <c r="BZ178" i="7"/>
  <c r="BY178" i="7"/>
  <c r="BX178" i="7"/>
  <c r="BW178" i="7"/>
  <c r="BV178" i="7"/>
  <c r="BT178" i="7"/>
  <c r="BS178" i="7"/>
  <c r="BR178" i="7"/>
  <c r="BQ178" i="7"/>
  <c r="BU178" i="7" s="1"/>
  <c r="BP178" i="7"/>
  <c r="CA177" i="7"/>
  <c r="BZ177" i="7"/>
  <c r="BY177" i="7"/>
  <c r="BX177" i="7"/>
  <c r="BW177" i="7"/>
  <c r="BV177" i="7"/>
  <c r="BT177" i="7"/>
  <c r="BS177" i="7"/>
  <c r="BR177" i="7"/>
  <c r="BQ177" i="7"/>
  <c r="BP177" i="7"/>
  <c r="CA176" i="7"/>
  <c r="BZ176" i="7"/>
  <c r="BY176" i="7"/>
  <c r="BX176" i="7"/>
  <c r="BW176" i="7"/>
  <c r="BV176" i="7"/>
  <c r="BT176" i="7"/>
  <c r="BS176" i="7"/>
  <c r="BR176" i="7"/>
  <c r="BQ176" i="7"/>
  <c r="BP176" i="7"/>
  <c r="CA175" i="7"/>
  <c r="BZ175" i="7"/>
  <c r="BY175" i="7"/>
  <c r="BX175" i="7"/>
  <c r="BW175" i="7"/>
  <c r="BV175" i="7"/>
  <c r="BT175" i="7"/>
  <c r="BS175" i="7"/>
  <c r="BR175" i="7"/>
  <c r="BQ175" i="7"/>
  <c r="BP175" i="7"/>
  <c r="CA174" i="7"/>
  <c r="BZ174" i="7"/>
  <c r="BY174" i="7"/>
  <c r="BX174" i="7"/>
  <c r="BW174" i="7"/>
  <c r="BV174" i="7"/>
  <c r="BT174" i="7"/>
  <c r="BS174" i="7"/>
  <c r="BR174" i="7"/>
  <c r="BQ174" i="7"/>
  <c r="BU174" i="7" s="1"/>
  <c r="BP174" i="7"/>
  <c r="CA173" i="7"/>
  <c r="BZ173" i="7"/>
  <c r="BY173" i="7"/>
  <c r="BX173" i="7"/>
  <c r="BW173" i="7"/>
  <c r="BV173" i="7"/>
  <c r="BT173" i="7"/>
  <c r="BS173" i="7"/>
  <c r="BR173" i="7"/>
  <c r="BQ173" i="7"/>
  <c r="BP173" i="7"/>
  <c r="CA172" i="7"/>
  <c r="BZ172" i="7"/>
  <c r="BY172" i="7"/>
  <c r="BX172" i="7"/>
  <c r="BW172" i="7"/>
  <c r="BV172" i="7"/>
  <c r="BT172" i="7"/>
  <c r="BS172" i="7"/>
  <c r="BR172" i="7"/>
  <c r="BQ172" i="7"/>
  <c r="BP172" i="7"/>
  <c r="CA171" i="7"/>
  <c r="BZ171" i="7"/>
  <c r="BY171" i="7"/>
  <c r="BX171" i="7"/>
  <c r="BW171" i="7"/>
  <c r="BV171" i="7"/>
  <c r="BT171" i="7"/>
  <c r="BS171" i="7"/>
  <c r="BR171" i="7"/>
  <c r="BQ171" i="7"/>
  <c r="BP171" i="7"/>
  <c r="CA170" i="7"/>
  <c r="BZ170" i="7"/>
  <c r="BY170" i="7"/>
  <c r="BX170" i="7"/>
  <c r="BW170" i="7"/>
  <c r="BV170" i="7"/>
  <c r="BT170" i="7"/>
  <c r="BS170" i="7"/>
  <c r="BR170" i="7"/>
  <c r="BQ170" i="7"/>
  <c r="BU170" i="7" s="1"/>
  <c r="BP170" i="7"/>
  <c r="CA169" i="7"/>
  <c r="BZ169" i="7"/>
  <c r="BY169" i="7"/>
  <c r="BX169" i="7"/>
  <c r="BW169" i="7"/>
  <c r="BV169" i="7"/>
  <c r="BT169" i="7"/>
  <c r="BS169" i="7"/>
  <c r="BR169" i="7"/>
  <c r="BQ169" i="7"/>
  <c r="BP169" i="7"/>
  <c r="CA168" i="7"/>
  <c r="BZ168" i="7"/>
  <c r="BY168" i="7"/>
  <c r="BX168" i="7"/>
  <c r="BW168" i="7"/>
  <c r="BV168" i="7"/>
  <c r="BT168" i="7"/>
  <c r="BS168" i="7"/>
  <c r="BR168" i="7"/>
  <c r="BQ168" i="7"/>
  <c r="BP168" i="7"/>
  <c r="CA167" i="7"/>
  <c r="BZ167" i="7"/>
  <c r="BY167" i="7"/>
  <c r="BX167" i="7"/>
  <c r="BW167" i="7"/>
  <c r="BV167" i="7"/>
  <c r="BT167" i="7"/>
  <c r="BS167" i="7"/>
  <c r="BR167" i="7"/>
  <c r="BQ167" i="7"/>
  <c r="BP167" i="7"/>
  <c r="CA166" i="7"/>
  <c r="BZ166" i="7"/>
  <c r="BY166" i="7"/>
  <c r="BX166" i="7"/>
  <c r="BW166" i="7"/>
  <c r="BV166" i="7"/>
  <c r="BT166" i="7"/>
  <c r="BS166" i="7"/>
  <c r="BR166" i="7"/>
  <c r="BQ166" i="7"/>
  <c r="BU166" i="7" s="1"/>
  <c r="BP166" i="7"/>
  <c r="CA165" i="7"/>
  <c r="BZ165" i="7"/>
  <c r="BY165" i="7"/>
  <c r="BX165" i="7"/>
  <c r="BW165" i="7"/>
  <c r="BV165" i="7"/>
  <c r="BT165" i="7"/>
  <c r="BS165" i="7"/>
  <c r="BR165" i="7"/>
  <c r="BQ165" i="7"/>
  <c r="BP165" i="7"/>
  <c r="CA164" i="7"/>
  <c r="BZ164" i="7"/>
  <c r="BY164" i="7"/>
  <c r="BX164" i="7"/>
  <c r="BW164" i="7"/>
  <c r="BV164" i="7"/>
  <c r="BT164" i="7"/>
  <c r="BS164" i="7"/>
  <c r="BR164" i="7"/>
  <c r="BQ164" i="7"/>
  <c r="BP164" i="7"/>
  <c r="CA163" i="7"/>
  <c r="BZ163" i="7"/>
  <c r="BY163" i="7"/>
  <c r="BX163" i="7"/>
  <c r="BW163" i="7"/>
  <c r="BV163" i="7"/>
  <c r="BT163" i="7"/>
  <c r="BS163" i="7"/>
  <c r="BR163" i="7"/>
  <c r="BQ163" i="7"/>
  <c r="BP163" i="7"/>
  <c r="CA162" i="7"/>
  <c r="BZ162" i="7"/>
  <c r="BY162" i="7"/>
  <c r="BX162" i="7"/>
  <c r="BW162" i="7"/>
  <c r="BV162" i="7"/>
  <c r="BT162" i="7"/>
  <c r="BS162" i="7"/>
  <c r="BR162" i="7"/>
  <c r="BQ162" i="7"/>
  <c r="BU162" i="7" s="1"/>
  <c r="BP162" i="7"/>
  <c r="CA161" i="7"/>
  <c r="BZ161" i="7"/>
  <c r="BY161" i="7"/>
  <c r="BX161" i="7"/>
  <c r="BW161" i="7"/>
  <c r="BV161" i="7"/>
  <c r="BT161" i="7"/>
  <c r="BS161" i="7"/>
  <c r="BR161" i="7"/>
  <c r="BQ161" i="7"/>
  <c r="BP161" i="7"/>
  <c r="CA160" i="7"/>
  <c r="BZ160" i="7"/>
  <c r="BY160" i="7"/>
  <c r="BX160" i="7"/>
  <c r="BW160" i="7"/>
  <c r="BV160" i="7"/>
  <c r="BT160" i="7"/>
  <c r="BS160" i="7"/>
  <c r="BR160" i="7"/>
  <c r="BQ160" i="7"/>
  <c r="BP160" i="7"/>
  <c r="CA159" i="7"/>
  <c r="BZ159" i="7"/>
  <c r="BY159" i="7"/>
  <c r="BX159" i="7"/>
  <c r="BW159" i="7"/>
  <c r="BV159" i="7"/>
  <c r="BT159" i="7"/>
  <c r="BS159" i="7"/>
  <c r="BR159" i="7"/>
  <c r="BQ159" i="7"/>
  <c r="BP159" i="7"/>
  <c r="CA158" i="7"/>
  <c r="BZ158" i="7"/>
  <c r="BY158" i="7"/>
  <c r="BX158" i="7"/>
  <c r="BW158" i="7"/>
  <c r="BV158" i="7"/>
  <c r="BT158" i="7"/>
  <c r="BS158" i="7"/>
  <c r="BR158" i="7"/>
  <c r="BQ158" i="7"/>
  <c r="BU158" i="7" s="1"/>
  <c r="BP158" i="7"/>
  <c r="CA157" i="7"/>
  <c r="BZ157" i="7"/>
  <c r="BY157" i="7"/>
  <c r="BX157" i="7"/>
  <c r="BW157" i="7"/>
  <c r="BV157" i="7"/>
  <c r="BT157" i="7"/>
  <c r="BS157" i="7"/>
  <c r="BR157" i="7"/>
  <c r="BQ157" i="7"/>
  <c r="BP157" i="7"/>
  <c r="CA156" i="7"/>
  <c r="BZ156" i="7"/>
  <c r="BY156" i="7"/>
  <c r="BX156" i="7"/>
  <c r="BW156" i="7"/>
  <c r="BV156" i="7"/>
  <c r="BT156" i="7"/>
  <c r="BS156" i="7"/>
  <c r="BR156" i="7"/>
  <c r="BQ156" i="7"/>
  <c r="BP156" i="7"/>
  <c r="CA155" i="7"/>
  <c r="BZ155" i="7"/>
  <c r="BY155" i="7"/>
  <c r="BX155" i="7"/>
  <c r="BW155" i="7"/>
  <c r="BV155" i="7"/>
  <c r="BT155" i="7"/>
  <c r="BS155" i="7"/>
  <c r="BR155" i="7"/>
  <c r="BQ155" i="7"/>
  <c r="BP155" i="7"/>
  <c r="CA154" i="7"/>
  <c r="BZ154" i="7"/>
  <c r="BY154" i="7"/>
  <c r="BX154" i="7"/>
  <c r="BW154" i="7"/>
  <c r="BV154" i="7"/>
  <c r="BT154" i="7"/>
  <c r="BS154" i="7"/>
  <c r="BR154" i="7"/>
  <c r="BQ154" i="7"/>
  <c r="BU154" i="7" s="1"/>
  <c r="BP154" i="7"/>
  <c r="CA153" i="7"/>
  <c r="BZ153" i="7"/>
  <c r="BY153" i="7"/>
  <c r="BX153" i="7"/>
  <c r="BW153" i="7"/>
  <c r="BV153" i="7"/>
  <c r="BT153" i="7"/>
  <c r="BS153" i="7"/>
  <c r="BR153" i="7"/>
  <c r="BQ153" i="7"/>
  <c r="BP153" i="7"/>
  <c r="CA152" i="7"/>
  <c r="BZ152" i="7"/>
  <c r="BY152" i="7"/>
  <c r="BX152" i="7"/>
  <c r="BW152" i="7"/>
  <c r="BV152" i="7"/>
  <c r="BT152" i="7"/>
  <c r="BS152" i="7"/>
  <c r="BR152" i="7"/>
  <c r="BQ152" i="7"/>
  <c r="BP152" i="7"/>
  <c r="CA151" i="7"/>
  <c r="BZ151" i="7"/>
  <c r="BY151" i="7"/>
  <c r="BX151" i="7"/>
  <c r="BW151" i="7"/>
  <c r="BV151" i="7"/>
  <c r="BT151" i="7"/>
  <c r="BS151" i="7"/>
  <c r="BR151" i="7"/>
  <c r="BQ151" i="7"/>
  <c r="BP151" i="7"/>
  <c r="CA150" i="7"/>
  <c r="BZ150" i="7"/>
  <c r="BY150" i="7"/>
  <c r="BX150" i="7"/>
  <c r="BW150" i="7"/>
  <c r="BV150" i="7"/>
  <c r="BT150" i="7"/>
  <c r="BS150" i="7"/>
  <c r="BR150" i="7"/>
  <c r="BQ150" i="7"/>
  <c r="BU150" i="7" s="1"/>
  <c r="BP150" i="7"/>
  <c r="CA149" i="7"/>
  <c r="BZ149" i="7"/>
  <c r="BY149" i="7"/>
  <c r="BX149" i="7"/>
  <c r="BW149" i="7"/>
  <c r="BV149" i="7"/>
  <c r="BT149" i="7"/>
  <c r="BS149" i="7"/>
  <c r="BR149" i="7"/>
  <c r="BQ149" i="7"/>
  <c r="BP149" i="7"/>
  <c r="CA148" i="7"/>
  <c r="BZ148" i="7"/>
  <c r="BY148" i="7"/>
  <c r="BX148" i="7"/>
  <c r="BW148" i="7"/>
  <c r="BV148" i="7"/>
  <c r="BT148" i="7"/>
  <c r="BS148" i="7"/>
  <c r="BR148" i="7"/>
  <c r="BQ148" i="7"/>
  <c r="BP148" i="7"/>
  <c r="CA147" i="7"/>
  <c r="BZ147" i="7"/>
  <c r="BY147" i="7"/>
  <c r="BX147" i="7"/>
  <c r="BW147" i="7"/>
  <c r="BV147" i="7"/>
  <c r="BT147" i="7"/>
  <c r="BS147" i="7"/>
  <c r="BR147" i="7"/>
  <c r="BQ147" i="7"/>
  <c r="BP147" i="7"/>
  <c r="CA146" i="7"/>
  <c r="BZ146" i="7"/>
  <c r="BY146" i="7"/>
  <c r="BX146" i="7"/>
  <c r="BW146" i="7"/>
  <c r="BV146" i="7"/>
  <c r="BT146" i="7"/>
  <c r="BS146" i="7"/>
  <c r="BR146" i="7"/>
  <c r="BQ146" i="7"/>
  <c r="BU146" i="7" s="1"/>
  <c r="BP146" i="7"/>
  <c r="CA145" i="7"/>
  <c r="BZ145" i="7"/>
  <c r="BY145" i="7"/>
  <c r="BX145" i="7"/>
  <c r="BW145" i="7"/>
  <c r="BV145" i="7"/>
  <c r="BT145" i="7"/>
  <c r="BS145" i="7"/>
  <c r="BR145" i="7"/>
  <c r="BQ145" i="7"/>
  <c r="BP145" i="7"/>
  <c r="CA144" i="7"/>
  <c r="BZ144" i="7"/>
  <c r="BY144" i="7"/>
  <c r="BX144" i="7"/>
  <c r="BW144" i="7"/>
  <c r="BV144" i="7"/>
  <c r="BT144" i="7"/>
  <c r="BS144" i="7"/>
  <c r="BR144" i="7"/>
  <c r="BQ144" i="7"/>
  <c r="BP144" i="7"/>
  <c r="CA143" i="7"/>
  <c r="BZ143" i="7"/>
  <c r="BY143" i="7"/>
  <c r="BX143" i="7"/>
  <c r="BW143" i="7"/>
  <c r="BV143" i="7"/>
  <c r="BT143" i="7"/>
  <c r="BS143" i="7"/>
  <c r="BR143" i="7"/>
  <c r="BQ143" i="7"/>
  <c r="BP143" i="7"/>
  <c r="CA142" i="7"/>
  <c r="BZ142" i="7"/>
  <c r="BY142" i="7"/>
  <c r="BX142" i="7"/>
  <c r="BW142" i="7"/>
  <c r="BV142" i="7"/>
  <c r="BT142" i="7"/>
  <c r="BS142" i="7"/>
  <c r="BR142" i="7"/>
  <c r="BQ142" i="7"/>
  <c r="BU142" i="7" s="1"/>
  <c r="BP142" i="7"/>
  <c r="CA141" i="7"/>
  <c r="BZ141" i="7"/>
  <c r="BY141" i="7"/>
  <c r="BX141" i="7"/>
  <c r="BW141" i="7"/>
  <c r="BV141" i="7"/>
  <c r="BT141" i="7"/>
  <c r="BS141" i="7"/>
  <c r="BR141" i="7"/>
  <c r="BQ141" i="7"/>
  <c r="BP141" i="7"/>
  <c r="CA140" i="7"/>
  <c r="BZ140" i="7"/>
  <c r="BY140" i="7"/>
  <c r="BX140" i="7"/>
  <c r="BW140" i="7"/>
  <c r="BV140" i="7"/>
  <c r="BT140" i="7"/>
  <c r="BS140" i="7"/>
  <c r="BR140" i="7"/>
  <c r="BQ140" i="7"/>
  <c r="BP140" i="7"/>
  <c r="CA139" i="7"/>
  <c r="BZ139" i="7"/>
  <c r="BY139" i="7"/>
  <c r="BX139" i="7"/>
  <c r="BW139" i="7"/>
  <c r="BV139" i="7"/>
  <c r="BT139" i="7"/>
  <c r="BS139" i="7"/>
  <c r="BR139" i="7"/>
  <c r="BQ139" i="7"/>
  <c r="BP139" i="7"/>
  <c r="CA138" i="7"/>
  <c r="BZ138" i="7"/>
  <c r="BY138" i="7"/>
  <c r="BX138" i="7"/>
  <c r="BW138" i="7"/>
  <c r="BV138" i="7"/>
  <c r="BT138" i="7"/>
  <c r="BS138" i="7"/>
  <c r="BR138" i="7"/>
  <c r="BQ138" i="7"/>
  <c r="BU138" i="7" s="1"/>
  <c r="BP138" i="7"/>
  <c r="CA137" i="7"/>
  <c r="BZ137" i="7"/>
  <c r="BY137" i="7"/>
  <c r="BX137" i="7"/>
  <c r="BW137" i="7"/>
  <c r="BV137" i="7"/>
  <c r="BT137" i="7"/>
  <c r="BS137" i="7"/>
  <c r="BR137" i="7"/>
  <c r="BQ137" i="7"/>
  <c r="BP137" i="7"/>
  <c r="CA136" i="7"/>
  <c r="BZ136" i="7"/>
  <c r="BY136" i="7"/>
  <c r="BX136" i="7"/>
  <c r="BW136" i="7"/>
  <c r="BV136" i="7"/>
  <c r="BT136" i="7"/>
  <c r="BS136" i="7"/>
  <c r="BR136" i="7"/>
  <c r="BQ136" i="7"/>
  <c r="BP136" i="7"/>
  <c r="CA135" i="7"/>
  <c r="BZ135" i="7"/>
  <c r="BY135" i="7"/>
  <c r="BX135" i="7"/>
  <c r="BW135" i="7"/>
  <c r="BV135" i="7"/>
  <c r="BT135" i="7"/>
  <c r="BS135" i="7"/>
  <c r="BR135" i="7"/>
  <c r="BQ135" i="7"/>
  <c r="BP135" i="7"/>
  <c r="CA134" i="7"/>
  <c r="BZ134" i="7"/>
  <c r="BY134" i="7"/>
  <c r="BX134" i="7"/>
  <c r="BW134" i="7"/>
  <c r="BV134" i="7"/>
  <c r="BT134" i="7"/>
  <c r="BS134" i="7"/>
  <c r="BR134" i="7"/>
  <c r="BQ134" i="7"/>
  <c r="BU134" i="7" s="1"/>
  <c r="BP134" i="7"/>
  <c r="CA133" i="7"/>
  <c r="BZ133" i="7"/>
  <c r="BY133" i="7"/>
  <c r="BX133" i="7"/>
  <c r="BW133" i="7"/>
  <c r="BV133" i="7"/>
  <c r="BT133" i="7"/>
  <c r="BS133" i="7"/>
  <c r="BR133" i="7"/>
  <c r="BQ133" i="7"/>
  <c r="BP133" i="7"/>
  <c r="CA132" i="7"/>
  <c r="BZ132" i="7"/>
  <c r="BY132" i="7"/>
  <c r="BX132" i="7"/>
  <c r="BW132" i="7"/>
  <c r="BV132" i="7"/>
  <c r="BT132" i="7"/>
  <c r="BS132" i="7"/>
  <c r="BR132" i="7"/>
  <c r="BQ132" i="7"/>
  <c r="BP132" i="7"/>
  <c r="CA131" i="7"/>
  <c r="BZ131" i="7"/>
  <c r="BY131" i="7"/>
  <c r="BX131" i="7"/>
  <c r="BW131" i="7"/>
  <c r="BV131" i="7"/>
  <c r="BT131" i="7"/>
  <c r="BS131" i="7"/>
  <c r="BR131" i="7"/>
  <c r="BQ131" i="7"/>
  <c r="BP131" i="7"/>
  <c r="CA130" i="7"/>
  <c r="BZ130" i="7"/>
  <c r="BY130" i="7"/>
  <c r="BX130" i="7"/>
  <c r="BW130" i="7"/>
  <c r="BV130" i="7"/>
  <c r="BT130" i="7"/>
  <c r="BS130" i="7"/>
  <c r="BR130" i="7"/>
  <c r="BQ130" i="7"/>
  <c r="BU130" i="7" s="1"/>
  <c r="BP130" i="7"/>
  <c r="CA129" i="7"/>
  <c r="BZ129" i="7"/>
  <c r="BY129" i="7"/>
  <c r="BX129" i="7"/>
  <c r="BW129" i="7"/>
  <c r="BV129" i="7"/>
  <c r="BT129" i="7"/>
  <c r="BS129" i="7"/>
  <c r="BR129" i="7"/>
  <c r="BQ129" i="7"/>
  <c r="BP129" i="7"/>
  <c r="CA128" i="7"/>
  <c r="BZ128" i="7"/>
  <c r="BY128" i="7"/>
  <c r="BX128" i="7"/>
  <c r="BW128" i="7"/>
  <c r="BV128" i="7"/>
  <c r="BT128" i="7"/>
  <c r="BS128" i="7"/>
  <c r="BR128" i="7"/>
  <c r="BQ128" i="7"/>
  <c r="BP128" i="7"/>
  <c r="CA127" i="7"/>
  <c r="BZ127" i="7"/>
  <c r="BY127" i="7"/>
  <c r="BX127" i="7"/>
  <c r="BW127" i="7"/>
  <c r="BV127" i="7"/>
  <c r="BT127" i="7"/>
  <c r="BS127" i="7"/>
  <c r="BR127" i="7"/>
  <c r="BQ127" i="7"/>
  <c r="BP127" i="7"/>
  <c r="CA126" i="7"/>
  <c r="BZ126" i="7"/>
  <c r="BY126" i="7"/>
  <c r="BX126" i="7"/>
  <c r="BW126" i="7"/>
  <c r="BV126" i="7"/>
  <c r="BT126" i="7"/>
  <c r="BS126" i="7"/>
  <c r="BR126" i="7"/>
  <c r="BQ126" i="7"/>
  <c r="BU126" i="7" s="1"/>
  <c r="BP126" i="7"/>
  <c r="CA125" i="7"/>
  <c r="BZ125" i="7"/>
  <c r="BY125" i="7"/>
  <c r="BX125" i="7"/>
  <c r="BW125" i="7"/>
  <c r="BV125" i="7"/>
  <c r="BT125" i="7"/>
  <c r="BS125" i="7"/>
  <c r="BR125" i="7"/>
  <c r="BQ125" i="7"/>
  <c r="BP125" i="7"/>
  <c r="CA124" i="7"/>
  <c r="BZ124" i="7"/>
  <c r="BY124" i="7"/>
  <c r="BX124" i="7"/>
  <c r="BW124" i="7"/>
  <c r="BV124" i="7"/>
  <c r="BT124" i="7"/>
  <c r="BS124" i="7"/>
  <c r="BR124" i="7"/>
  <c r="BQ124" i="7"/>
  <c r="BP124" i="7"/>
  <c r="CA123" i="7"/>
  <c r="BZ123" i="7"/>
  <c r="BY123" i="7"/>
  <c r="BX123" i="7"/>
  <c r="BW123" i="7"/>
  <c r="BV123" i="7"/>
  <c r="BT123" i="7"/>
  <c r="BS123" i="7"/>
  <c r="BR123" i="7"/>
  <c r="BQ123" i="7"/>
  <c r="BP123" i="7"/>
  <c r="CA122" i="7"/>
  <c r="BZ122" i="7"/>
  <c r="BY122" i="7"/>
  <c r="BX122" i="7"/>
  <c r="BW122" i="7"/>
  <c r="BV122" i="7"/>
  <c r="BT122" i="7"/>
  <c r="BS122" i="7"/>
  <c r="BR122" i="7"/>
  <c r="BQ122" i="7"/>
  <c r="BU122" i="7" s="1"/>
  <c r="BP122" i="7"/>
  <c r="CA121" i="7"/>
  <c r="BZ121" i="7"/>
  <c r="BY121" i="7"/>
  <c r="BX121" i="7"/>
  <c r="BW121" i="7"/>
  <c r="BV121" i="7"/>
  <c r="BT121" i="7"/>
  <c r="BS121" i="7"/>
  <c r="BR121" i="7"/>
  <c r="BQ121" i="7"/>
  <c r="BP121" i="7"/>
  <c r="CA120" i="7"/>
  <c r="BZ120" i="7"/>
  <c r="BY120" i="7"/>
  <c r="BX120" i="7"/>
  <c r="BW120" i="7"/>
  <c r="BV120" i="7"/>
  <c r="BT120" i="7"/>
  <c r="BS120" i="7"/>
  <c r="BR120" i="7"/>
  <c r="BQ120" i="7"/>
  <c r="BP120" i="7"/>
  <c r="CA119" i="7"/>
  <c r="BZ119" i="7"/>
  <c r="BY119" i="7"/>
  <c r="BX119" i="7"/>
  <c r="BW119" i="7"/>
  <c r="BV119" i="7"/>
  <c r="BT119" i="7"/>
  <c r="BS119" i="7"/>
  <c r="BR119" i="7"/>
  <c r="BQ119" i="7"/>
  <c r="BP119" i="7"/>
  <c r="CA118" i="7"/>
  <c r="BZ118" i="7"/>
  <c r="BY118" i="7"/>
  <c r="BX118" i="7"/>
  <c r="BW118" i="7"/>
  <c r="BV118" i="7"/>
  <c r="BT118" i="7"/>
  <c r="BS118" i="7"/>
  <c r="BR118" i="7"/>
  <c r="BQ118" i="7"/>
  <c r="BU118" i="7" s="1"/>
  <c r="BP118" i="7"/>
  <c r="CA117" i="7"/>
  <c r="BZ117" i="7"/>
  <c r="BY117" i="7"/>
  <c r="BX117" i="7"/>
  <c r="BW117" i="7"/>
  <c r="BV117" i="7"/>
  <c r="BT117" i="7"/>
  <c r="BS117" i="7"/>
  <c r="BR117" i="7"/>
  <c r="BQ117" i="7"/>
  <c r="BP117" i="7"/>
  <c r="CA116" i="7"/>
  <c r="BZ116" i="7"/>
  <c r="BY116" i="7"/>
  <c r="BX116" i="7"/>
  <c r="BW116" i="7"/>
  <c r="BV116" i="7"/>
  <c r="BT116" i="7"/>
  <c r="BS116" i="7"/>
  <c r="BR116" i="7"/>
  <c r="BQ116" i="7"/>
  <c r="BP116" i="7"/>
  <c r="CA115" i="7"/>
  <c r="BZ115" i="7"/>
  <c r="BY115" i="7"/>
  <c r="BX115" i="7"/>
  <c r="BW115" i="7"/>
  <c r="BV115" i="7"/>
  <c r="BT115" i="7"/>
  <c r="BS115" i="7"/>
  <c r="BR115" i="7"/>
  <c r="BQ115" i="7"/>
  <c r="BP115" i="7"/>
  <c r="CA114" i="7"/>
  <c r="BZ114" i="7"/>
  <c r="BY114" i="7"/>
  <c r="BX114" i="7"/>
  <c r="BW114" i="7"/>
  <c r="BV114" i="7"/>
  <c r="BT114" i="7"/>
  <c r="BS114" i="7"/>
  <c r="BR114" i="7"/>
  <c r="BQ114" i="7"/>
  <c r="BU114" i="7" s="1"/>
  <c r="BP114" i="7"/>
  <c r="CA113" i="7"/>
  <c r="BZ113" i="7"/>
  <c r="BY113" i="7"/>
  <c r="BX113" i="7"/>
  <c r="BW113" i="7"/>
  <c r="BV113" i="7"/>
  <c r="BT113" i="7"/>
  <c r="BS113" i="7"/>
  <c r="BR113" i="7"/>
  <c r="BQ113" i="7"/>
  <c r="BP113" i="7"/>
  <c r="CA112" i="7"/>
  <c r="BZ112" i="7"/>
  <c r="BY112" i="7"/>
  <c r="BX112" i="7"/>
  <c r="BW112" i="7"/>
  <c r="BV112" i="7"/>
  <c r="BT112" i="7"/>
  <c r="BS112" i="7"/>
  <c r="BR112" i="7"/>
  <c r="BQ112" i="7"/>
  <c r="BP112" i="7"/>
  <c r="CA111" i="7"/>
  <c r="BZ111" i="7"/>
  <c r="BY111" i="7"/>
  <c r="BX111" i="7"/>
  <c r="BW111" i="7"/>
  <c r="BV111" i="7"/>
  <c r="BT111" i="7"/>
  <c r="BS111" i="7"/>
  <c r="BR111" i="7"/>
  <c r="BQ111" i="7"/>
  <c r="BP111" i="7"/>
  <c r="CA110" i="7"/>
  <c r="BZ110" i="7"/>
  <c r="BY110" i="7"/>
  <c r="BX110" i="7"/>
  <c r="BW110" i="7"/>
  <c r="BV110" i="7"/>
  <c r="BT110" i="7"/>
  <c r="BS110" i="7"/>
  <c r="BR110" i="7"/>
  <c r="BQ110" i="7"/>
  <c r="BU110" i="7" s="1"/>
  <c r="BP110" i="7"/>
  <c r="CA109" i="7"/>
  <c r="BZ109" i="7"/>
  <c r="BY109" i="7"/>
  <c r="BX109" i="7"/>
  <c r="BW109" i="7"/>
  <c r="BV109" i="7"/>
  <c r="BT109" i="7"/>
  <c r="BS109" i="7"/>
  <c r="BR109" i="7"/>
  <c r="BQ109" i="7"/>
  <c r="BP109" i="7"/>
  <c r="CA108" i="7"/>
  <c r="BZ108" i="7"/>
  <c r="BY108" i="7"/>
  <c r="BX108" i="7"/>
  <c r="BW108" i="7"/>
  <c r="BV108" i="7"/>
  <c r="BT108" i="7"/>
  <c r="BS108" i="7"/>
  <c r="BR108" i="7"/>
  <c r="BQ108" i="7"/>
  <c r="BP108" i="7"/>
  <c r="CA107" i="7"/>
  <c r="BZ107" i="7"/>
  <c r="BY107" i="7"/>
  <c r="BX107" i="7"/>
  <c r="BW107" i="7"/>
  <c r="BV107" i="7"/>
  <c r="BT107" i="7"/>
  <c r="BS107" i="7"/>
  <c r="BR107" i="7"/>
  <c r="BQ107" i="7"/>
  <c r="BP107" i="7"/>
  <c r="CA106" i="7"/>
  <c r="BZ106" i="7"/>
  <c r="BY106" i="7"/>
  <c r="BX106" i="7"/>
  <c r="BW106" i="7"/>
  <c r="BV106" i="7"/>
  <c r="BT106" i="7"/>
  <c r="BS106" i="7"/>
  <c r="BR106" i="7"/>
  <c r="BQ106" i="7"/>
  <c r="BU106" i="7" s="1"/>
  <c r="BP106" i="7"/>
  <c r="CA105" i="7"/>
  <c r="BZ105" i="7"/>
  <c r="BY105" i="7"/>
  <c r="BX105" i="7"/>
  <c r="BW105" i="7"/>
  <c r="BV105" i="7"/>
  <c r="BT105" i="7"/>
  <c r="BS105" i="7"/>
  <c r="BR105" i="7"/>
  <c r="BQ105" i="7"/>
  <c r="BP105" i="7"/>
  <c r="CA104" i="7"/>
  <c r="BZ104" i="7"/>
  <c r="BY104" i="7"/>
  <c r="BX104" i="7"/>
  <c r="BW104" i="7"/>
  <c r="BV104" i="7"/>
  <c r="BT104" i="7"/>
  <c r="BS104" i="7"/>
  <c r="BR104" i="7"/>
  <c r="BQ104" i="7"/>
  <c r="BP104" i="7"/>
  <c r="CA103" i="7"/>
  <c r="BZ103" i="7"/>
  <c r="BY103" i="7"/>
  <c r="BX103" i="7"/>
  <c r="BW103" i="7"/>
  <c r="BV103" i="7"/>
  <c r="BT103" i="7"/>
  <c r="BS103" i="7"/>
  <c r="BR103" i="7"/>
  <c r="BQ103" i="7"/>
  <c r="BP103" i="7"/>
  <c r="CA102" i="7"/>
  <c r="BZ102" i="7"/>
  <c r="BY102" i="7"/>
  <c r="BX102" i="7"/>
  <c r="BW102" i="7"/>
  <c r="BV102" i="7"/>
  <c r="BT102" i="7"/>
  <c r="BS102" i="7"/>
  <c r="BR102" i="7"/>
  <c r="BQ102" i="7"/>
  <c r="BU102" i="7" s="1"/>
  <c r="BP102" i="7"/>
  <c r="CA101" i="7"/>
  <c r="BZ101" i="7"/>
  <c r="BY101" i="7"/>
  <c r="BX101" i="7"/>
  <c r="BW101" i="7"/>
  <c r="BV101" i="7"/>
  <c r="BT101" i="7"/>
  <c r="BS101" i="7"/>
  <c r="BR101" i="7"/>
  <c r="BQ101" i="7"/>
  <c r="BP101" i="7"/>
  <c r="CA100" i="7"/>
  <c r="BZ100" i="7"/>
  <c r="BY100" i="7"/>
  <c r="BX100" i="7"/>
  <c r="BW100" i="7"/>
  <c r="BV100" i="7"/>
  <c r="BT100" i="7"/>
  <c r="BS100" i="7"/>
  <c r="BR100" i="7"/>
  <c r="BQ100" i="7"/>
  <c r="BP100" i="7"/>
  <c r="CA99" i="7"/>
  <c r="BZ99" i="7"/>
  <c r="BY99" i="7"/>
  <c r="BX99" i="7"/>
  <c r="BW99" i="7"/>
  <c r="BV99" i="7"/>
  <c r="BT99" i="7"/>
  <c r="BS99" i="7"/>
  <c r="BR99" i="7"/>
  <c r="BQ99" i="7"/>
  <c r="BP99" i="7"/>
  <c r="CA98" i="7"/>
  <c r="BZ98" i="7"/>
  <c r="BY98" i="7"/>
  <c r="BX98" i="7"/>
  <c r="BW98" i="7"/>
  <c r="BV98" i="7"/>
  <c r="BT98" i="7"/>
  <c r="BS98" i="7"/>
  <c r="BR98" i="7"/>
  <c r="BQ98" i="7"/>
  <c r="BU98" i="7" s="1"/>
  <c r="BP98" i="7"/>
  <c r="CA97" i="7"/>
  <c r="BZ97" i="7"/>
  <c r="BY97" i="7"/>
  <c r="BX97" i="7"/>
  <c r="BW97" i="7"/>
  <c r="BV97" i="7"/>
  <c r="BT97" i="7"/>
  <c r="BS97" i="7"/>
  <c r="BR97" i="7"/>
  <c r="BQ97" i="7"/>
  <c r="BP97" i="7"/>
  <c r="CA96" i="7"/>
  <c r="BZ96" i="7"/>
  <c r="BY96" i="7"/>
  <c r="BX96" i="7"/>
  <c r="BW96" i="7"/>
  <c r="BV96" i="7"/>
  <c r="BT96" i="7"/>
  <c r="BS96" i="7"/>
  <c r="BR96" i="7"/>
  <c r="BQ96" i="7"/>
  <c r="BP96" i="7"/>
  <c r="CA95" i="7"/>
  <c r="BZ95" i="7"/>
  <c r="BY95" i="7"/>
  <c r="BX95" i="7"/>
  <c r="BW95" i="7"/>
  <c r="BV95" i="7"/>
  <c r="BT95" i="7"/>
  <c r="BS95" i="7"/>
  <c r="BR95" i="7"/>
  <c r="BQ95" i="7"/>
  <c r="BP95" i="7"/>
  <c r="CA94" i="7"/>
  <c r="BZ94" i="7"/>
  <c r="BY94" i="7"/>
  <c r="BX94" i="7"/>
  <c r="BW94" i="7"/>
  <c r="BV94" i="7"/>
  <c r="BT94" i="7"/>
  <c r="BS94" i="7"/>
  <c r="BR94" i="7"/>
  <c r="BQ94" i="7"/>
  <c r="BU94" i="7" s="1"/>
  <c r="BP94" i="7"/>
  <c r="CA93" i="7"/>
  <c r="BZ93" i="7"/>
  <c r="BY93" i="7"/>
  <c r="BX93" i="7"/>
  <c r="BW93" i="7"/>
  <c r="BV93" i="7"/>
  <c r="BT93" i="7"/>
  <c r="BS93" i="7"/>
  <c r="BR93" i="7"/>
  <c r="BQ93" i="7"/>
  <c r="BP93" i="7"/>
  <c r="CA92" i="7"/>
  <c r="BZ92" i="7"/>
  <c r="BY92" i="7"/>
  <c r="BX92" i="7"/>
  <c r="BW92" i="7"/>
  <c r="BV92" i="7"/>
  <c r="BT92" i="7"/>
  <c r="BS92" i="7"/>
  <c r="BR92" i="7"/>
  <c r="BQ92" i="7"/>
  <c r="BP92" i="7"/>
  <c r="CA91" i="7"/>
  <c r="BZ91" i="7"/>
  <c r="BY91" i="7"/>
  <c r="BX91" i="7"/>
  <c r="BW91" i="7"/>
  <c r="BV91" i="7"/>
  <c r="BT91" i="7"/>
  <c r="BS91" i="7"/>
  <c r="BR91" i="7"/>
  <c r="BQ91" i="7"/>
  <c r="BP91" i="7"/>
  <c r="CA90" i="7"/>
  <c r="BZ90" i="7"/>
  <c r="BY90" i="7"/>
  <c r="BX90" i="7"/>
  <c r="BW90" i="7"/>
  <c r="BV90" i="7"/>
  <c r="BT90" i="7"/>
  <c r="BS90" i="7"/>
  <c r="BR90" i="7"/>
  <c r="BQ90" i="7"/>
  <c r="BU90" i="7" s="1"/>
  <c r="BP90" i="7"/>
  <c r="CA89" i="7"/>
  <c r="BZ89" i="7"/>
  <c r="BY89" i="7"/>
  <c r="BX89" i="7"/>
  <c r="BW89" i="7"/>
  <c r="BV89" i="7"/>
  <c r="BT89" i="7"/>
  <c r="BS89" i="7"/>
  <c r="BR89" i="7"/>
  <c r="BQ89" i="7"/>
  <c r="BP89" i="7"/>
  <c r="CA88" i="7"/>
  <c r="BZ88" i="7"/>
  <c r="BY88" i="7"/>
  <c r="BX88" i="7"/>
  <c r="BW88" i="7"/>
  <c r="BV88" i="7"/>
  <c r="BT88" i="7"/>
  <c r="BS88" i="7"/>
  <c r="BR88" i="7"/>
  <c r="BQ88" i="7"/>
  <c r="BP88" i="7"/>
  <c r="CA87" i="7"/>
  <c r="BZ87" i="7"/>
  <c r="BY87" i="7"/>
  <c r="BX87" i="7"/>
  <c r="BW87" i="7"/>
  <c r="BV87" i="7"/>
  <c r="BT87" i="7"/>
  <c r="BS87" i="7"/>
  <c r="BR87" i="7"/>
  <c r="BQ87" i="7"/>
  <c r="BP87" i="7"/>
  <c r="CA86" i="7"/>
  <c r="BZ86" i="7"/>
  <c r="BY86" i="7"/>
  <c r="BX86" i="7"/>
  <c r="BW86" i="7"/>
  <c r="BV86" i="7"/>
  <c r="BT86" i="7"/>
  <c r="BS86" i="7"/>
  <c r="BR86" i="7"/>
  <c r="BQ86" i="7"/>
  <c r="BU86" i="7" s="1"/>
  <c r="BP86" i="7"/>
  <c r="CA85" i="7"/>
  <c r="BZ85" i="7"/>
  <c r="BY85" i="7"/>
  <c r="BX85" i="7"/>
  <c r="BW85" i="7"/>
  <c r="BV85" i="7"/>
  <c r="BT85" i="7"/>
  <c r="BS85" i="7"/>
  <c r="BR85" i="7"/>
  <c r="BQ85" i="7"/>
  <c r="BP85" i="7"/>
  <c r="CA84" i="7"/>
  <c r="BZ84" i="7"/>
  <c r="BY84" i="7"/>
  <c r="BX84" i="7"/>
  <c r="BW84" i="7"/>
  <c r="BV84" i="7"/>
  <c r="BT84" i="7"/>
  <c r="BS84" i="7"/>
  <c r="BR84" i="7"/>
  <c r="BQ84" i="7"/>
  <c r="BP84" i="7"/>
  <c r="CA83" i="7"/>
  <c r="BZ83" i="7"/>
  <c r="BY83" i="7"/>
  <c r="BX83" i="7"/>
  <c r="BW83" i="7"/>
  <c r="BV83" i="7"/>
  <c r="BT83" i="7"/>
  <c r="BS83" i="7"/>
  <c r="BR83" i="7"/>
  <c r="BQ83" i="7"/>
  <c r="BP83" i="7"/>
  <c r="CA82" i="7"/>
  <c r="BZ82" i="7"/>
  <c r="BY82" i="7"/>
  <c r="BX82" i="7"/>
  <c r="BW82" i="7"/>
  <c r="BV82" i="7"/>
  <c r="BT82" i="7"/>
  <c r="BS82" i="7"/>
  <c r="BR82" i="7"/>
  <c r="BQ82" i="7"/>
  <c r="BU82" i="7" s="1"/>
  <c r="BP82" i="7"/>
  <c r="CA81" i="7"/>
  <c r="BZ81" i="7"/>
  <c r="BY81" i="7"/>
  <c r="BX81" i="7"/>
  <c r="BW81" i="7"/>
  <c r="BV81" i="7"/>
  <c r="BT81" i="7"/>
  <c r="BS81" i="7"/>
  <c r="BR81" i="7"/>
  <c r="BQ81" i="7"/>
  <c r="BP81" i="7"/>
  <c r="CA80" i="7"/>
  <c r="BZ80" i="7"/>
  <c r="BY80" i="7"/>
  <c r="BX80" i="7"/>
  <c r="BW80" i="7"/>
  <c r="BV80" i="7"/>
  <c r="BT80" i="7"/>
  <c r="BS80" i="7"/>
  <c r="BR80" i="7"/>
  <c r="BQ80" i="7"/>
  <c r="BP80" i="7"/>
  <c r="CA79" i="7"/>
  <c r="BZ79" i="7"/>
  <c r="BY79" i="7"/>
  <c r="BX79" i="7"/>
  <c r="BW79" i="7"/>
  <c r="BV79" i="7"/>
  <c r="BT79" i="7"/>
  <c r="BS79" i="7"/>
  <c r="BR79" i="7"/>
  <c r="BQ79" i="7"/>
  <c r="BP79" i="7"/>
  <c r="CA78" i="7"/>
  <c r="BZ78" i="7"/>
  <c r="BY78" i="7"/>
  <c r="BX78" i="7"/>
  <c r="BW78" i="7"/>
  <c r="BV78" i="7"/>
  <c r="BT78" i="7"/>
  <c r="BS78" i="7"/>
  <c r="BR78" i="7"/>
  <c r="BQ78" i="7"/>
  <c r="BU78" i="7" s="1"/>
  <c r="BP78" i="7"/>
  <c r="CA77" i="7"/>
  <c r="BZ77" i="7"/>
  <c r="BY77" i="7"/>
  <c r="BX77" i="7"/>
  <c r="BW77" i="7"/>
  <c r="BV77" i="7"/>
  <c r="BT77" i="7"/>
  <c r="BS77" i="7"/>
  <c r="BR77" i="7"/>
  <c r="BQ77" i="7"/>
  <c r="BP77" i="7"/>
  <c r="CA76" i="7"/>
  <c r="BZ76" i="7"/>
  <c r="BY76" i="7"/>
  <c r="BX76" i="7"/>
  <c r="BW76" i="7"/>
  <c r="BV76" i="7"/>
  <c r="BT76" i="7"/>
  <c r="BS76" i="7"/>
  <c r="BR76" i="7"/>
  <c r="BQ76" i="7"/>
  <c r="BP76" i="7"/>
  <c r="CA75" i="7"/>
  <c r="BZ75" i="7"/>
  <c r="BY75" i="7"/>
  <c r="BX75" i="7"/>
  <c r="BW75" i="7"/>
  <c r="BV75" i="7"/>
  <c r="BT75" i="7"/>
  <c r="BS75" i="7"/>
  <c r="BR75" i="7"/>
  <c r="BQ75" i="7"/>
  <c r="BP75" i="7"/>
  <c r="CA74" i="7"/>
  <c r="BZ74" i="7"/>
  <c r="BY74" i="7"/>
  <c r="BX74" i="7"/>
  <c r="BW74" i="7"/>
  <c r="BV74" i="7"/>
  <c r="BT74" i="7"/>
  <c r="BS74" i="7"/>
  <c r="BR74" i="7"/>
  <c r="BQ74" i="7"/>
  <c r="BU74" i="7" s="1"/>
  <c r="BP74" i="7"/>
  <c r="CA73" i="7"/>
  <c r="BZ73" i="7"/>
  <c r="BY73" i="7"/>
  <c r="BX73" i="7"/>
  <c r="BW73" i="7"/>
  <c r="BV73" i="7"/>
  <c r="BT73" i="7"/>
  <c r="BS73" i="7"/>
  <c r="BR73" i="7"/>
  <c r="BQ73" i="7"/>
  <c r="BP73" i="7"/>
  <c r="CA72" i="7"/>
  <c r="BZ72" i="7"/>
  <c r="BY72" i="7"/>
  <c r="BX72" i="7"/>
  <c r="BW72" i="7"/>
  <c r="BV72" i="7"/>
  <c r="BT72" i="7"/>
  <c r="BS72" i="7"/>
  <c r="BR72" i="7"/>
  <c r="BQ72" i="7"/>
  <c r="BP72" i="7"/>
  <c r="CA71" i="7"/>
  <c r="BZ71" i="7"/>
  <c r="BY71" i="7"/>
  <c r="BX71" i="7"/>
  <c r="BW71" i="7"/>
  <c r="BV71" i="7"/>
  <c r="BT71" i="7"/>
  <c r="BS71" i="7"/>
  <c r="BR71" i="7"/>
  <c r="BQ71" i="7"/>
  <c r="BP71" i="7"/>
  <c r="CA70" i="7"/>
  <c r="BZ70" i="7"/>
  <c r="BY70" i="7"/>
  <c r="BX70" i="7"/>
  <c r="BW70" i="7"/>
  <c r="BV70" i="7"/>
  <c r="BT70" i="7"/>
  <c r="BS70" i="7"/>
  <c r="BR70" i="7"/>
  <c r="BQ70" i="7"/>
  <c r="BU70" i="7" s="1"/>
  <c r="BP70" i="7"/>
  <c r="CA69" i="7"/>
  <c r="BZ69" i="7"/>
  <c r="BY69" i="7"/>
  <c r="BX69" i="7"/>
  <c r="BW69" i="7"/>
  <c r="BV69" i="7"/>
  <c r="BT69" i="7"/>
  <c r="BS69" i="7"/>
  <c r="BR69" i="7"/>
  <c r="BQ69" i="7"/>
  <c r="BP69" i="7"/>
  <c r="CA68" i="7"/>
  <c r="BZ68" i="7"/>
  <c r="BY68" i="7"/>
  <c r="BX68" i="7"/>
  <c r="BW68" i="7"/>
  <c r="BV68" i="7"/>
  <c r="BT68" i="7"/>
  <c r="BS68" i="7"/>
  <c r="BR68" i="7"/>
  <c r="BQ68" i="7"/>
  <c r="BP68" i="7"/>
  <c r="CA67" i="7"/>
  <c r="BZ67" i="7"/>
  <c r="BY67" i="7"/>
  <c r="BX67" i="7"/>
  <c r="BW67" i="7"/>
  <c r="BV67" i="7"/>
  <c r="BT67" i="7"/>
  <c r="BS67" i="7"/>
  <c r="BR67" i="7"/>
  <c r="BQ67" i="7"/>
  <c r="BP67" i="7"/>
  <c r="CA66" i="7"/>
  <c r="BZ66" i="7"/>
  <c r="BY66" i="7"/>
  <c r="BX66" i="7"/>
  <c r="BW66" i="7"/>
  <c r="BV66" i="7"/>
  <c r="BT66" i="7"/>
  <c r="BS66" i="7"/>
  <c r="BR66" i="7"/>
  <c r="BQ66" i="7"/>
  <c r="BU66" i="7" s="1"/>
  <c r="BP66" i="7"/>
  <c r="CA65" i="7"/>
  <c r="BZ65" i="7"/>
  <c r="BY65" i="7"/>
  <c r="BX65" i="7"/>
  <c r="BW65" i="7"/>
  <c r="BV65" i="7"/>
  <c r="BT65" i="7"/>
  <c r="BS65" i="7"/>
  <c r="BR65" i="7"/>
  <c r="BQ65" i="7"/>
  <c r="BP65" i="7"/>
  <c r="CA64" i="7"/>
  <c r="BZ64" i="7"/>
  <c r="BY64" i="7"/>
  <c r="BX64" i="7"/>
  <c r="BW64" i="7"/>
  <c r="BV64" i="7"/>
  <c r="BT64" i="7"/>
  <c r="BS64" i="7"/>
  <c r="BR64" i="7"/>
  <c r="BQ64" i="7"/>
  <c r="BP64" i="7"/>
  <c r="CA63" i="7"/>
  <c r="BZ63" i="7"/>
  <c r="BY63" i="7"/>
  <c r="BX63" i="7"/>
  <c r="BW63" i="7"/>
  <c r="BV63" i="7"/>
  <c r="BT63" i="7"/>
  <c r="BS63" i="7"/>
  <c r="BR63" i="7"/>
  <c r="BQ63" i="7"/>
  <c r="BP63" i="7"/>
  <c r="CA62" i="7"/>
  <c r="BZ62" i="7"/>
  <c r="BY62" i="7"/>
  <c r="BX62" i="7"/>
  <c r="BW62" i="7"/>
  <c r="BV62" i="7"/>
  <c r="BT62" i="7"/>
  <c r="BS62" i="7"/>
  <c r="BR62" i="7"/>
  <c r="BQ62" i="7"/>
  <c r="BU62" i="7" s="1"/>
  <c r="BP62" i="7"/>
  <c r="CA61" i="7"/>
  <c r="BZ61" i="7"/>
  <c r="BY61" i="7"/>
  <c r="BX61" i="7"/>
  <c r="BW61" i="7"/>
  <c r="BV61" i="7"/>
  <c r="BT61" i="7"/>
  <c r="BS61" i="7"/>
  <c r="BR61" i="7"/>
  <c r="BQ61" i="7"/>
  <c r="BP61" i="7"/>
  <c r="CA60" i="7"/>
  <c r="BZ60" i="7"/>
  <c r="BY60" i="7"/>
  <c r="BX60" i="7"/>
  <c r="BW60" i="7"/>
  <c r="BV60" i="7"/>
  <c r="BT60" i="7"/>
  <c r="BS60" i="7"/>
  <c r="BR60" i="7"/>
  <c r="BQ60" i="7"/>
  <c r="BP60" i="7"/>
  <c r="CA59" i="7"/>
  <c r="BZ59" i="7"/>
  <c r="BY59" i="7"/>
  <c r="BX59" i="7"/>
  <c r="BW59" i="7"/>
  <c r="BV59" i="7"/>
  <c r="BT59" i="7"/>
  <c r="BS59" i="7"/>
  <c r="BR59" i="7"/>
  <c r="BQ59" i="7"/>
  <c r="BP59" i="7"/>
  <c r="CA58" i="7"/>
  <c r="BZ58" i="7"/>
  <c r="BY58" i="7"/>
  <c r="BX58" i="7"/>
  <c r="BW58" i="7"/>
  <c r="BV58" i="7"/>
  <c r="BT58" i="7"/>
  <c r="BS58" i="7"/>
  <c r="BR58" i="7"/>
  <c r="BQ58" i="7"/>
  <c r="BU58" i="7" s="1"/>
  <c r="BP58" i="7"/>
  <c r="CA57" i="7"/>
  <c r="BZ57" i="7"/>
  <c r="BY57" i="7"/>
  <c r="BX57" i="7"/>
  <c r="BW57" i="7"/>
  <c r="BV57" i="7"/>
  <c r="BT57" i="7"/>
  <c r="BS57" i="7"/>
  <c r="BR57" i="7"/>
  <c r="BQ57" i="7"/>
  <c r="BP57" i="7"/>
  <c r="CA56" i="7"/>
  <c r="BZ56" i="7"/>
  <c r="BY56" i="7"/>
  <c r="BX56" i="7"/>
  <c r="BW56" i="7"/>
  <c r="BV56" i="7"/>
  <c r="BT56" i="7"/>
  <c r="BS56" i="7"/>
  <c r="BR56" i="7"/>
  <c r="BQ56" i="7"/>
  <c r="BP56" i="7"/>
  <c r="CA55" i="7"/>
  <c r="BZ55" i="7"/>
  <c r="BY55" i="7"/>
  <c r="BX55" i="7"/>
  <c r="BW55" i="7"/>
  <c r="BV55" i="7"/>
  <c r="BT55" i="7"/>
  <c r="BS55" i="7"/>
  <c r="BR55" i="7"/>
  <c r="BQ55" i="7"/>
  <c r="BP55" i="7"/>
  <c r="CA54" i="7"/>
  <c r="BZ54" i="7"/>
  <c r="BY54" i="7"/>
  <c r="BX54" i="7"/>
  <c r="BW54" i="7"/>
  <c r="BV54" i="7"/>
  <c r="BT54" i="7"/>
  <c r="BS54" i="7"/>
  <c r="BR54" i="7"/>
  <c r="BQ54" i="7"/>
  <c r="BU54" i="7" s="1"/>
  <c r="BP54" i="7"/>
  <c r="CA53" i="7"/>
  <c r="BZ53" i="7"/>
  <c r="BY53" i="7"/>
  <c r="BX53" i="7"/>
  <c r="BW53" i="7"/>
  <c r="BV53" i="7"/>
  <c r="BT53" i="7"/>
  <c r="BS53" i="7"/>
  <c r="BR53" i="7"/>
  <c r="BQ53" i="7"/>
  <c r="BP53" i="7"/>
  <c r="CA52" i="7"/>
  <c r="BZ52" i="7"/>
  <c r="BY52" i="7"/>
  <c r="BX52" i="7"/>
  <c r="BW52" i="7"/>
  <c r="BV52" i="7"/>
  <c r="BT52" i="7"/>
  <c r="BS52" i="7"/>
  <c r="BR52" i="7"/>
  <c r="BQ52" i="7"/>
  <c r="BP52" i="7"/>
  <c r="CA51" i="7"/>
  <c r="BZ51" i="7"/>
  <c r="BY51" i="7"/>
  <c r="BX51" i="7"/>
  <c r="BW51" i="7"/>
  <c r="BV51" i="7"/>
  <c r="BT51" i="7"/>
  <c r="BS51" i="7"/>
  <c r="BR51" i="7"/>
  <c r="BQ51" i="7"/>
  <c r="BP51" i="7"/>
  <c r="CA50" i="7"/>
  <c r="BZ50" i="7"/>
  <c r="BY50" i="7"/>
  <c r="BX50" i="7"/>
  <c r="BW50" i="7"/>
  <c r="BV50" i="7"/>
  <c r="BT50" i="7"/>
  <c r="BS50" i="7"/>
  <c r="BR50" i="7"/>
  <c r="BQ50" i="7"/>
  <c r="BU50" i="7" s="1"/>
  <c r="BP50" i="7"/>
  <c r="CA49" i="7"/>
  <c r="BZ49" i="7"/>
  <c r="BY49" i="7"/>
  <c r="BX49" i="7"/>
  <c r="BW49" i="7"/>
  <c r="BV49" i="7"/>
  <c r="BT49" i="7"/>
  <c r="BS49" i="7"/>
  <c r="BR49" i="7"/>
  <c r="BQ49" i="7"/>
  <c r="BP49" i="7"/>
  <c r="CA48" i="7"/>
  <c r="BZ48" i="7"/>
  <c r="BY48" i="7"/>
  <c r="BX48" i="7"/>
  <c r="BW48" i="7"/>
  <c r="BV48" i="7"/>
  <c r="BT48" i="7"/>
  <c r="BS48" i="7"/>
  <c r="BR48" i="7"/>
  <c r="BQ48" i="7"/>
  <c r="BP48" i="7"/>
  <c r="CA47" i="7"/>
  <c r="BZ47" i="7"/>
  <c r="BY47" i="7"/>
  <c r="BX47" i="7"/>
  <c r="BW47" i="7"/>
  <c r="BV47" i="7"/>
  <c r="BT47" i="7"/>
  <c r="BS47" i="7"/>
  <c r="BR47" i="7"/>
  <c r="BQ47" i="7"/>
  <c r="BP47" i="7"/>
  <c r="CA46" i="7"/>
  <c r="BZ46" i="7"/>
  <c r="BY46" i="7"/>
  <c r="BX46" i="7"/>
  <c r="BW46" i="7"/>
  <c r="BV46" i="7"/>
  <c r="BT46" i="7"/>
  <c r="BS46" i="7"/>
  <c r="BR46" i="7"/>
  <c r="BQ46" i="7"/>
  <c r="BU46" i="7" s="1"/>
  <c r="BP46" i="7"/>
  <c r="CA45" i="7"/>
  <c r="BZ45" i="7"/>
  <c r="BY45" i="7"/>
  <c r="BX45" i="7"/>
  <c r="BW45" i="7"/>
  <c r="BV45" i="7"/>
  <c r="BT45" i="7"/>
  <c r="BS45" i="7"/>
  <c r="BR45" i="7"/>
  <c r="BQ45" i="7"/>
  <c r="BP45" i="7"/>
  <c r="CA44" i="7"/>
  <c r="BZ44" i="7"/>
  <c r="BY44" i="7"/>
  <c r="BX44" i="7"/>
  <c r="BW44" i="7"/>
  <c r="BV44" i="7"/>
  <c r="BT44" i="7"/>
  <c r="BS44" i="7"/>
  <c r="BR44" i="7"/>
  <c r="BQ44" i="7"/>
  <c r="BP44" i="7"/>
  <c r="CA43" i="7"/>
  <c r="BZ43" i="7"/>
  <c r="BY43" i="7"/>
  <c r="BX43" i="7"/>
  <c r="BW43" i="7"/>
  <c r="BV43" i="7"/>
  <c r="BT43" i="7"/>
  <c r="BS43" i="7"/>
  <c r="BR43" i="7"/>
  <c r="BQ43" i="7"/>
  <c r="BP43" i="7"/>
  <c r="CA42" i="7"/>
  <c r="BZ42" i="7"/>
  <c r="BY42" i="7"/>
  <c r="BX42" i="7"/>
  <c r="BW42" i="7"/>
  <c r="BV42" i="7"/>
  <c r="BT42" i="7"/>
  <c r="BS42" i="7"/>
  <c r="BR42" i="7"/>
  <c r="BQ42" i="7"/>
  <c r="BU42" i="7" s="1"/>
  <c r="BP42" i="7"/>
  <c r="CA41" i="7"/>
  <c r="BZ41" i="7"/>
  <c r="BY41" i="7"/>
  <c r="BX41" i="7"/>
  <c r="BW41" i="7"/>
  <c r="BV41" i="7"/>
  <c r="BT41" i="7"/>
  <c r="BS41" i="7"/>
  <c r="BR41" i="7"/>
  <c r="BQ41" i="7"/>
  <c r="BP41" i="7"/>
  <c r="CA40" i="7"/>
  <c r="BZ40" i="7"/>
  <c r="BY40" i="7"/>
  <c r="BX40" i="7"/>
  <c r="BW40" i="7"/>
  <c r="BV40" i="7"/>
  <c r="BT40" i="7"/>
  <c r="BS40" i="7"/>
  <c r="BR40" i="7"/>
  <c r="BQ40" i="7"/>
  <c r="BP40" i="7"/>
  <c r="CA39" i="7"/>
  <c r="BZ39" i="7"/>
  <c r="BY39" i="7"/>
  <c r="BX39" i="7"/>
  <c r="BW39" i="7"/>
  <c r="BV39" i="7"/>
  <c r="BT39" i="7"/>
  <c r="BS39" i="7"/>
  <c r="BR39" i="7"/>
  <c r="BQ39" i="7"/>
  <c r="BP39" i="7"/>
  <c r="CA38" i="7"/>
  <c r="BZ38" i="7"/>
  <c r="BY38" i="7"/>
  <c r="BX38" i="7"/>
  <c r="BW38" i="7"/>
  <c r="BV38" i="7"/>
  <c r="BT38" i="7"/>
  <c r="BS38" i="7"/>
  <c r="BR38" i="7"/>
  <c r="BQ38" i="7"/>
  <c r="BU38" i="7" s="1"/>
  <c r="BP38" i="7"/>
  <c r="CA37" i="7"/>
  <c r="BZ37" i="7"/>
  <c r="BY37" i="7"/>
  <c r="BX37" i="7"/>
  <c r="BW37" i="7"/>
  <c r="BV37" i="7"/>
  <c r="BT37" i="7"/>
  <c r="BS37" i="7"/>
  <c r="BR37" i="7"/>
  <c r="BQ37" i="7"/>
  <c r="BP37" i="7"/>
  <c r="CA36" i="7"/>
  <c r="BZ36" i="7"/>
  <c r="BY36" i="7"/>
  <c r="BX36" i="7"/>
  <c r="BW36" i="7"/>
  <c r="BV36" i="7"/>
  <c r="BT36" i="7"/>
  <c r="BS36" i="7"/>
  <c r="BR36" i="7"/>
  <c r="BQ36" i="7"/>
  <c r="BP36" i="7"/>
  <c r="S35" i="7"/>
  <c r="BR35" i="7" s="1"/>
  <c r="H35" i="7"/>
  <c r="E35" i="7"/>
  <c r="S34" i="7"/>
  <c r="BS34" i="7" s="1"/>
  <c r="H34" i="7"/>
  <c r="E34" i="7"/>
  <c r="S33" i="7"/>
  <c r="H33" i="7"/>
  <c r="E33" i="7"/>
  <c r="S32" i="7"/>
  <c r="BR32" i="7" s="1"/>
  <c r="H32" i="7"/>
  <c r="BV32" i="7" s="1"/>
  <c r="E32" i="7"/>
  <c r="S31" i="7"/>
  <c r="BR31" i="7" s="1"/>
  <c r="H31" i="7"/>
  <c r="E31" i="7"/>
  <c r="S30" i="7"/>
  <c r="BS30" i="7" s="1"/>
  <c r="H30" i="7"/>
  <c r="E30" i="7"/>
  <c r="S29" i="7"/>
  <c r="H29" i="7"/>
  <c r="E29" i="7"/>
  <c r="S28" i="7"/>
  <c r="BR28" i="7" s="1"/>
  <c r="H28" i="7"/>
  <c r="BV28" i="7" s="1"/>
  <c r="E28" i="7"/>
  <c r="S27" i="7"/>
  <c r="BR27" i="7" s="1"/>
  <c r="H27" i="7"/>
  <c r="E27" i="7"/>
  <c r="S26" i="7"/>
  <c r="BS26" i="7" s="1"/>
  <c r="H26" i="7"/>
  <c r="E26" i="7"/>
  <c r="S25" i="7"/>
  <c r="BM25" i="7" s="1"/>
  <c r="H25" i="7"/>
  <c r="E25" i="7"/>
  <c r="S24" i="7"/>
  <c r="BR24" i="7" s="1"/>
  <c r="H24" i="7"/>
  <c r="BV24" i="7" s="1"/>
  <c r="E24" i="7"/>
  <c r="S23" i="7"/>
  <c r="BR23" i="7" s="1"/>
  <c r="H23" i="7"/>
  <c r="E23" i="7"/>
  <c r="S22" i="7"/>
  <c r="H22" i="7"/>
  <c r="E22" i="7"/>
  <c r="S21" i="7"/>
  <c r="BT21" i="7" s="1"/>
  <c r="H21" i="7"/>
  <c r="E21" i="7"/>
  <c r="S20" i="7"/>
  <c r="BR20" i="7" s="1"/>
  <c r="H20" i="7"/>
  <c r="BV20" i="7" s="1"/>
  <c r="E20" i="7"/>
  <c r="S19" i="7"/>
  <c r="H19" i="7"/>
  <c r="BV19" i="7" s="1"/>
  <c r="E19" i="7"/>
  <c r="S18" i="7"/>
  <c r="BS18" i="7" s="1"/>
  <c r="H18" i="7"/>
  <c r="BV18" i="7" s="1"/>
  <c r="E18" i="7"/>
  <c r="S17" i="7"/>
  <c r="BT17" i="7" s="1"/>
  <c r="H17" i="7"/>
  <c r="E17" i="7"/>
  <c r="S16" i="7"/>
  <c r="BR16" i="7" s="1"/>
  <c r="H16" i="7"/>
  <c r="BV16" i="7" s="1"/>
  <c r="E16" i="7"/>
  <c r="S15" i="7"/>
  <c r="BR15" i="7" s="1"/>
  <c r="H15" i="7"/>
  <c r="BV15" i="7" s="1"/>
  <c r="E15" i="7"/>
  <c r="S14" i="7"/>
  <c r="H14" i="7"/>
  <c r="BV14" i="7" s="1"/>
  <c r="E14" i="7"/>
  <c r="S13" i="7"/>
  <c r="BT13" i="7" s="1"/>
  <c r="H13" i="7"/>
  <c r="E13" i="7"/>
  <c r="S12" i="7"/>
  <c r="BR12" i="7" s="1"/>
  <c r="H12" i="7"/>
  <c r="BV12" i="7" s="1"/>
  <c r="E12" i="7"/>
  <c r="S11" i="7"/>
  <c r="BO11" i="7" s="1"/>
  <c r="H11" i="7"/>
  <c r="BV11" i="7" s="1"/>
  <c r="E11" i="7"/>
  <c r="S10" i="7"/>
  <c r="BS10" i="7" s="1"/>
  <c r="H10" i="7"/>
  <c r="BV10" i="7" s="1"/>
  <c r="E10" i="7"/>
  <c r="S9" i="7"/>
  <c r="BQ9" i="7" s="1"/>
  <c r="H9" i="7"/>
  <c r="E9" i="7"/>
  <c r="S8" i="7"/>
  <c r="BR8" i="7" s="1"/>
  <c r="H8" i="7"/>
  <c r="BV8" i="7" s="1"/>
  <c r="E8" i="7"/>
  <c r="S7" i="7"/>
  <c r="BR7" i="7" s="1"/>
  <c r="H7" i="7"/>
  <c r="BV7" i="7" s="1"/>
  <c r="E7" i="7"/>
  <c r="S6" i="7"/>
  <c r="BS6" i="7" s="1"/>
  <c r="H6" i="7"/>
  <c r="BV6" i="7" s="1"/>
  <c r="E6" i="7"/>
  <c r="S5" i="7"/>
  <c r="H5" i="7"/>
  <c r="E5" i="7"/>
  <c r="S4" i="7"/>
  <c r="BJ4" i="7" s="1"/>
  <c r="H4" i="7"/>
  <c r="BV4" i="7" s="1"/>
  <c r="E4" i="7"/>
  <c r="BZ1" i="7"/>
  <c r="B1" i="7"/>
  <c r="A17" i="7" l="1"/>
  <c r="W17" i="7" s="1"/>
  <c r="A21" i="7"/>
  <c r="BQ27" i="7"/>
  <c r="BQ35" i="7"/>
  <c r="A27" i="7"/>
  <c r="W27" i="7" s="1"/>
  <c r="A7" i="7"/>
  <c r="W7" i="7" s="1"/>
  <c r="BQ21" i="7"/>
  <c r="A35" i="7"/>
  <c r="W35" i="7" s="1"/>
  <c r="BK15" i="7"/>
  <c r="BQ31" i="7"/>
  <c r="BS7" i="7"/>
  <c r="A13" i="7"/>
  <c r="W13" i="7" s="1"/>
  <c r="A31" i="7"/>
  <c r="W31" i="7" s="1"/>
  <c r="BN4" i="7"/>
  <c r="BI13" i="7"/>
  <c r="BI17" i="7"/>
  <c r="BT18" i="7"/>
  <c r="BI23" i="7"/>
  <c r="BT26" i="7"/>
  <c r="BT30" i="7"/>
  <c r="BT34" i="7"/>
  <c r="BL6" i="7"/>
  <c r="A8" i="7"/>
  <c r="W8" i="7" s="1"/>
  <c r="BL10" i="7"/>
  <c r="A12" i="7"/>
  <c r="W12" i="7" s="1"/>
  <c r="BM13" i="7"/>
  <c r="BK17" i="7"/>
  <c r="BI21" i="7"/>
  <c r="BM23" i="7"/>
  <c r="BI27" i="7"/>
  <c r="BI31" i="7"/>
  <c r="BI35" i="7"/>
  <c r="BS17" i="7"/>
  <c r="BT6" i="7"/>
  <c r="BT10" i="7"/>
  <c r="BQ13" i="7"/>
  <c r="BM17" i="7"/>
  <c r="A19" i="7"/>
  <c r="W19" i="7" s="1"/>
  <c r="A20" i="7"/>
  <c r="W20" i="7" s="1"/>
  <c r="BM21" i="7"/>
  <c r="A23" i="7"/>
  <c r="W23" i="7" s="1"/>
  <c r="BS23" i="7"/>
  <c r="BM27" i="7"/>
  <c r="BM31" i="7"/>
  <c r="BM35" i="7"/>
  <c r="BS14" i="7"/>
  <c r="BT14" i="7"/>
  <c r="BP14" i="7"/>
  <c r="BL14" i="7"/>
  <c r="BT5" i="7"/>
  <c r="BQ5" i="7"/>
  <c r="BM5" i="7"/>
  <c r="BI5" i="7"/>
  <c r="BT9" i="7"/>
  <c r="BM9" i="7"/>
  <c r="BK9" i="7"/>
  <c r="BS9" i="7"/>
  <c r="BI9" i="7"/>
  <c r="BS22" i="7"/>
  <c r="BT22" i="7"/>
  <c r="BP22" i="7"/>
  <c r="BL22" i="7"/>
  <c r="BR29" i="7"/>
  <c r="BP29" i="7"/>
  <c r="BK29" i="7"/>
  <c r="BR33" i="7"/>
  <c r="BP33" i="7"/>
  <c r="BK33" i="7"/>
  <c r="BP6" i="7"/>
  <c r="A11" i="7"/>
  <c r="W11" i="7" s="1"/>
  <c r="A15" i="7"/>
  <c r="W15" i="7" s="1"/>
  <c r="BS15" i="7"/>
  <c r="BQ17" i="7"/>
  <c r="BK23" i="7"/>
  <c r="A5" i="7"/>
  <c r="W5" i="7" s="1"/>
  <c r="BK7" i="7"/>
  <c r="A9" i="7"/>
  <c r="W9" i="7" s="1"/>
  <c r="A16" i="7"/>
  <c r="W16" i="7" s="1"/>
  <c r="BL18" i="7"/>
  <c r="BQ23" i="7"/>
  <c r="BL26" i="7"/>
  <c r="BL30" i="7"/>
  <c r="BL34" i="7"/>
  <c r="BR19" i="7"/>
  <c r="BM19" i="7"/>
  <c r="BS19" i="7"/>
  <c r="BK19" i="7"/>
  <c r="BQ19" i="7"/>
  <c r="BI19" i="7"/>
  <c r="BO19" i="7"/>
  <c r="BT25" i="7"/>
  <c r="BS25" i="7"/>
  <c r="BL25" i="7"/>
  <c r="BQ25" i="7"/>
  <c r="BK25" i="7"/>
  <c r="BO25" i="7"/>
  <c r="BI25" i="7"/>
  <c r="BR11" i="7"/>
  <c r="BM11" i="7"/>
  <c r="BS11" i="7"/>
  <c r="BK11" i="7"/>
  <c r="BQ11" i="7"/>
  <c r="BI11" i="7"/>
  <c r="BK5" i="7"/>
  <c r="BS5" i="7"/>
  <c r="BM7" i="7"/>
  <c r="BO9" i="7"/>
  <c r="A10" i="7"/>
  <c r="W10" i="7" s="1"/>
  <c r="BP10" i="7"/>
  <c r="BK13" i="7"/>
  <c r="BS13" i="7"/>
  <c r="BM15" i="7"/>
  <c r="BO17" i="7"/>
  <c r="A18" i="7"/>
  <c r="W18" i="7" s="1"/>
  <c r="BP18" i="7"/>
  <c r="BK21" i="7"/>
  <c r="BS21" i="7"/>
  <c r="BO23" i="7"/>
  <c r="A24" i="7"/>
  <c r="W24" i="7" s="1"/>
  <c r="A26" i="7"/>
  <c r="BP26" i="7"/>
  <c r="BK27" i="7"/>
  <c r="BS27" i="7"/>
  <c r="A29" i="7"/>
  <c r="BL29" i="7"/>
  <c r="BQ29" i="7"/>
  <c r="A30" i="7"/>
  <c r="W30" i="7" s="1"/>
  <c r="BP30" i="7"/>
  <c r="BK31" i="7"/>
  <c r="BS31" i="7"/>
  <c r="A33" i="7"/>
  <c r="W33" i="7" s="1"/>
  <c r="BL33" i="7"/>
  <c r="BQ33" i="7"/>
  <c r="A34" i="7"/>
  <c r="W34" i="7" s="1"/>
  <c r="BP34" i="7"/>
  <c r="BK35" i="7"/>
  <c r="BS35" i="7"/>
  <c r="BO7" i="7"/>
  <c r="BO15" i="7"/>
  <c r="BM29" i="7"/>
  <c r="BS29" i="7"/>
  <c r="BM33" i="7"/>
  <c r="BS33" i="7"/>
  <c r="A4" i="7"/>
  <c r="W4" i="7" s="1"/>
  <c r="BO5" i="7"/>
  <c r="A6" i="7"/>
  <c r="W6" i="7" s="1"/>
  <c r="BI7" i="7"/>
  <c r="BQ7" i="7"/>
  <c r="BO13" i="7"/>
  <c r="A14" i="7"/>
  <c r="W14" i="7" s="1"/>
  <c r="BI15" i="7"/>
  <c r="BQ15" i="7"/>
  <c r="BO21" i="7"/>
  <c r="A22" i="7"/>
  <c r="W22" i="7" s="1"/>
  <c r="A25" i="7"/>
  <c r="W25" i="7" s="1"/>
  <c r="BO27" i="7"/>
  <c r="A28" i="7"/>
  <c r="W28" i="7" s="1"/>
  <c r="BI29" i="7"/>
  <c r="BO29" i="7"/>
  <c r="BT29" i="7"/>
  <c r="BO31" i="7"/>
  <c r="A32" i="7"/>
  <c r="W32" i="7" s="1"/>
  <c r="BI33" i="7"/>
  <c r="BO33" i="7"/>
  <c r="BT33" i="7"/>
  <c r="BO35" i="7"/>
  <c r="BU37" i="7"/>
  <c r="BU41" i="7"/>
  <c r="BU45" i="7"/>
  <c r="BU49" i="7"/>
  <c r="BU53" i="7"/>
  <c r="BU57" i="7"/>
  <c r="BU61" i="7"/>
  <c r="BU65" i="7"/>
  <c r="BU69" i="7"/>
  <c r="BU73" i="7"/>
  <c r="BU77" i="7"/>
  <c r="BU81" i="7"/>
  <c r="BU85" i="7"/>
  <c r="BU89" i="7"/>
  <c r="BU93" i="7"/>
  <c r="BU97" i="7"/>
  <c r="BU101" i="7"/>
  <c r="BU105" i="7"/>
  <c r="BU109" i="7"/>
  <c r="BU113" i="7"/>
  <c r="BU117" i="7"/>
  <c r="BU121" i="7"/>
  <c r="BU125" i="7"/>
  <c r="BU129" i="7"/>
  <c r="BU133" i="7"/>
  <c r="BU137" i="7"/>
  <c r="BU141" i="7"/>
  <c r="BU145" i="7"/>
  <c r="BU149" i="7"/>
  <c r="BU169" i="7"/>
  <c r="BU177" i="7"/>
  <c r="BU181" i="7"/>
  <c r="BU185" i="7"/>
  <c r="BU189" i="7"/>
  <c r="BU193" i="7"/>
  <c r="BU197" i="7"/>
  <c r="BU201" i="7"/>
  <c r="BU205" i="7"/>
  <c r="BU209" i="7"/>
  <c r="BU213" i="7"/>
  <c r="BU217" i="7"/>
  <c r="BU219" i="7"/>
  <c r="BU221" i="7"/>
  <c r="BU36" i="7"/>
  <c r="BU40" i="7"/>
  <c r="BU44" i="7"/>
  <c r="BU48" i="7"/>
  <c r="BU52" i="7"/>
  <c r="BU56" i="7"/>
  <c r="BU60" i="7"/>
  <c r="BU64" i="7"/>
  <c r="BU68" i="7"/>
  <c r="BU72" i="7"/>
  <c r="BU76" i="7"/>
  <c r="BU80" i="7"/>
  <c r="BU84" i="7"/>
  <c r="BU88" i="7"/>
  <c r="BU92" i="7"/>
  <c r="BU96" i="7"/>
  <c r="BU100" i="7"/>
  <c r="BU156" i="7"/>
  <c r="BU160" i="7"/>
  <c r="BU180" i="7"/>
  <c r="BU192" i="7"/>
  <c r="BU200" i="7"/>
  <c r="BU204" i="7"/>
  <c r="BU208" i="7"/>
  <c r="BU212" i="7"/>
  <c r="BU216" i="7"/>
  <c r="BU218" i="7"/>
  <c r="BU220" i="7"/>
  <c r="BU222" i="7"/>
  <c r="BU39" i="7"/>
  <c r="BU43" i="7"/>
  <c r="BU47" i="7"/>
  <c r="BU51" i="7"/>
  <c r="BU55" i="7"/>
  <c r="BU59" i="7"/>
  <c r="BU63" i="7"/>
  <c r="BU67" i="7"/>
  <c r="BU71" i="7"/>
  <c r="BU75" i="7"/>
  <c r="BU79" i="7"/>
  <c r="BU83" i="7"/>
  <c r="BU87" i="7"/>
  <c r="BU91" i="7"/>
  <c r="BU95" i="7"/>
  <c r="BU99" i="7"/>
  <c r="BU151" i="7"/>
  <c r="BU155" i="7"/>
  <c r="BU159" i="7"/>
  <c r="BU163" i="7"/>
  <c r="BU167" i="7"/>
  <c r="BU171" i="7"/>
  <c r="BU175" i="7"/>
  <c r="BU179" i="7"/>
  <c r="BU183" i="7"/>
  <c r="BU187" i="7"/>
  <c r="BU191" i="7"/>
  <c r="BU195" i="7"/>
  <c r="BU207" i="7"/>
  <c r="BU211" i="7"/>
  <c r="BU215" i="7"/>
  <c r="BV22" i="7"/>
  <c r="W26" i="7"/>
  <c r="BV26" i="7"/>
  <c r="W29" i="7"/>
  <c r="BV29" i="7"/>
  <c r="BV33" i="7"/>
  <c r="BQ4" i="7"/>
  <c r="BM4" i="7"/>
  <c r="BI4" i="7"/>
  <c r="BT4" i="7"/>
  <c r="BP4" i="7"/>
  <c r="BL4" i="7"/>
  <c r="BS4" i="7"/>
  <c r="BO4" i="7"/>
  <c r="BK4" i="7"/>
  <c r="BR4" i="7"/>
  <c r="W21" i="7"/>
  <c r="BV21" i="7"/>
  <c r="BJ5" i="7"/>
  <c r="BN5" i="7"/>
  <c r="BR5" i="7"/>
  <c r="BV5" i="7"/>
  <c r="BI6" i="7"/>
  <c r="BM6" i="7"/>
  <c r="BQ6" i="7"/>
  <c r="BL7" i="7"/>
  <c r="BP7" i="7"/>
  <c r="BT7" i="7"/>
  <c r="BK8" i="7"/>
  <c r="BO8" i="7"/>
  <c r="BS8" i="7"/>
  <c r="BJ9" i="7"/>
  <c r="BN9" i="7"/>
  <c r="BR9" i="7"/>
  <c r="BV9" i="7"/>
  <c r="BI10" i="7"/>
  <c r="BM10" i="7"/>
  <c r="BQ10" i="7"/>
  <c r="BL11" i="7"/>
  <c r="BP11" i="7"/>
  <c r="BT11" i="7"/>
  <c r="BK12" i="7"/>
  <c r="BO12" i="7"/>
  <c r="BS12" i="7"/>
  <c r="BJ13" i="7"/>
  <c r="BN13" i="7"/>
  <c r="BR13" i="7"/>
  <c r="BV13" i="7"/>
  <c r="BI14" i="7"/>
  <c r="BM14" i="7"/>
  <c r="BQ14" i="7"/>
  <c r="BL15" i="7"/>
  <c r="BP15" i="7"/>
  <c r="BT15" i="7"/>
  <c r="BK16" i="7"/>
  <c r="BO16" i="7"/>
  <c r="BS16" i="7"/>
  <c r="BJ17" i="7"/>
  <c r="BN17" i="7"/>
  <c r="BR17" i="7"/>
  <c r="BV17" i="7"/>
  <c r="BI18" i="7"/>
  <c r="BM18" i="7"/>
  <c r="BQ18" i="7"/>
  <c r="BL19" i="7"/>
  <c r="BP19" i="7"/>
  <c r="BT19" i="7"/>
  <c r="BK20" i="7"/>
  <c r="BO20" i="7"/>
  <c r="BS20" i="7"/>
  <c r="BJ21" i="7"/>
  <c r="BN21" i="7"/>
  <c r="BR21" i="7"/>
  <c r="BI22" i="7"/>
  <c r="BM22" i="7"/>
  <c r="BQ22" i="7"/>
  <c r="BL23" i="7"/>
  <c r="BP23" i="7"/>
  <c r="BT23" i="7"/>
  <c r="BK24" i="7"/>
  <c r="BO24" i="7"/>
  <c r="BS24" i="7"/>
  <c r="BJ25" i="7"/>
  <c r="BN25" i="7"/>
  <c r="BR25" i="7"/>
  <c r="BI26" i="7"/>
  <c r="BM26" i="7"/>
  <c r="BQ26" i="7"/>
  <c r="BL27" i="7"/>
  <c r="BP27" i="7"/>
  <c r="BT27" i="7"/>
  <c r="BK28" i="7"/>
  <c r="BO28" i="7"/>
  <c r="BS28" i="7"/>
  <c r="BJ29" i="7"/>
  <c r="BN29" i="7"/>
  <c r="BI30" i="7"/>
  <c r="BM30" i="7"/>
  <c r="BQ30" i="7"/>
  <c r="BL31" i="7"/>
  <c r="BP31" i="7"/>
  <c r="BT31" i="7"/>
  <c r="BK32" i="7"/>
  <c r="BO32" i="7"/>
  <c r="BS32" i="7"/>
  <c r="BJ33" i="7"/>
  <c r="BN33" i="7"/>
  <c r="BI34" i="7"/>
  <c r="BM34" i="7"/>
  <c r="BQ34" i="7"/>
  <c r="BL35" i="7"/>
  <c r="BP35" i="7"/>
  <c r="BT35" i="7"/>
  <c r="BJ6" i="7"/>
  <c r="BN6" i="7"/>
  <c r="BR6" i="7"/>
  <c r="BL8" i="7"/>
  <c r="BP8" i="7"/>
  <c r="BT8" i="7"/>
  <c r="BJ10" i="7"/>
  <c r="BN10" i="7"/>
  <c r="BR10" i="7"/>
  <c r="BL12" i="7"/>
  <c r="BP12" i="7"/>
  <c r="BT12" i="7"/>
  <c r="BJ14" i="7"/>
  <c r="BN14" i="7"/>
  <c r="BR14" i="7"/>
  <c r="BL16" i="7"/>
  <c r="BP16" i="7"/>
  <c r="BT16" i="7"/>
  <c r="BJ18" i="7"/>
  <c r="BN18" i="7"/>
  <c r="BR18" i="7"/>
  <c r="BL20" i="7"/>
  <c r="BP20" i="7"/>
  <c r="BT20" i="7"/>
  <c r="BJ22" i="7"/>
  <c r="BN22" i="7"/>
  <c r="BR22" i="7"/>
  <c r="BL24" i="7"/>
  <c r="BP24" i="7"/>
  <c r="BT24" i="7"/>
  <c r="BJ26" i="7"/>
  <c r="BN26" i="7"/>
  <c r="BR26" i="7"/>
  <c r="BL28" i="7"/>
  <c r="BP28" i="7"/>
  <c r="BT28" i="7"/>
  <c r="BJ30" i="7"/>
  <c r="BN30" i="7"/>
  <c r="BR30" i="7"/>
  <c r="BL32" i="7"/>
  <c r="BP32" i="7"/>
  <c r="BT32" i="7"/>
  <c r="BJ34" i="7"/>
  <c r="BN34" i="7"/>
  <c r="BR34" i="7"/>
  <c r="BL5" i="7"/>
  <c r="BP5" i="7"/>
  <c r="BK6" i="7"/>
  <c r="BO6" i="7"/>
  <c r="BJ7" i="7"/>
  <c r="BN7" i="7"/>
  <c r="BI8" i="7"/>
  <c r="BM8" i="7"/>
  <c r="BQ8" i="7"/>
  <c r="BL9" i="7"/>
  <c r="BP9" i="7"/>
  <c r="BK10" i="7"/>
  <c r="BO10" i="7"/>
  <c r="BJ11" i="7"/>
  <c r="BN11" i="7"/>
  <c r="BI12" i="7"/>
  <c r="BM12" i="7"/>
  <c r="BQ12" i="7"/>
  <c r="BL13" i="7"/>
  <c r="BP13" i="7"/>
  <c r="BK14" i="7"/>
  <c r="BO14" i="7"/>
  <c r="BJ15" i="7"/>
  <c r="BN15" i="7"/>
  <c r="BI16" i="7"/>
  <c r="BM16" i="7"/>
  <c r="BQ16" i="7"/>
  <c r="BL17" i="7"/>
  <c r="BP17" i="7"/>
  <c r="BK18" i="7"/>
  <c r="BO18" i="7"/>
  <c r="BJ19" i="7"/>
  <c r="BN19" i="7"/>
  <c r="BI20" i="7"/>
  <c r="BM20" i="7"/>
  <c r="BQ20" i="7"/>
  <c r="BL21" i="7"/>
  <c r="BP21" i="7"/>
  <c r="BK22" i="7"/>
  <c r="BO22" i="7"/>
  <c r="BJ23" i="7"/>
  <c r="BN23" i="7"/>
  <c r="BV23" i="7"/>
  <c r="BI24" i="7"/>
  <c r="BM24" i="7"/>
  <c r="BQ24" i="7"/>
  <c r="BP25" i="7"/>
  <c r="BK26" i="7"/>
  <c r="BO26" i="7"/>
  <c r="BJ27" i="7"/>
  <c r="BN27" i="7"/>
  <c r="BV27" i="7"/>
  <c r="BI28" i="7"/>
  <c r="BM28" i="7"/>
  <c r="BQ28" i="7"/>
  <c r="BK30" i="7"/>
  <c r="BO30" i="7"/>
  <c r="BJ31" i="7"/>
  <c r="BN31" i="7"/>
  <c r="BV31" i="7"/>
  <c r="BI32" i="7"/>
  <c r="BM32" i="7"/>
  <c r="BQ32" i="7"/>
  <c r="BK34" i="7"/>
  <c r="BO34" i="7"/>
  <c r="BJ35" i="7"/>
  <c r="BN35" i="7"/>
  <c r="BV35" i="7"/>
  <c r="BJ8" i="7"/>
  <c r="BN8" i="7"/>
  <c r="BJ12" i="7"/>
  <c r="BN12" i="7"/>
  <c r="BJ16" i="7"/>
  <c r="BN16" i="7"/>
  <c r="BJ20" i="7"/>
  <c r="BN20" i="7"/>
  <c r="BJ24" i="7"/>
  <c r="BN24" i="7"/>
  <c r="BJ28" i="7"/>
  <c r="BN28" i="7"/>
  <c r="BJ32" i="7"/>
  <c r="BN32" i="7"/>
  <c r="BU103" i="7"/>
  <c r="BU107" i="7"/>
  <c r="BU111" i="7"/>
  <c r="BU115" i="7"/>
  <c r="BU119" i="7"/>
  <c r="BU123" i="7"/>
  <c r="BU127" i="7"/>
  <c r="BU131" i="7"/>
  <c r="BU135" i="7"/>
  <c r="BU139" i="7"/>
  <c r="BU143" i="7"/>
  <c r="BU153" i="7"/>
  <c r="BU157" i="7"/>
  <c r="BU161" i="7"/>
  <c r="BU165" i="7"/>
  <c r="BU173" i="7"/>
  <c r="BU104" i="7"/>
  <c r="BU108" i="7"/>
  <c r="BU112" i="7"/>
  <c r="BU116" i="7"/>
  <c r="BU120" i="7"/>
  <c r="BU124" i="7"/>
  <c r="BU128" i="7"/>
  <c r="BU132" i="7"/>
  <c r="BU136" i="7"/>
  <c r="BU140" i="7"/>
  <c r="BU144" i="7"/>
  <c r="BU148" i="7"/>
  <c r="BU152" i="7"/>
  <c r="BU164" i="7"/>
  <c r="BU168" i="7"/>
  <c r="BU172" i="7"/>
  <c r="BU176" i="7"/>
  <c r="BU184" i="7"/>
  <c r="BU188" i="7"/>
  <c r="BU196" i="7"/>
  <c r="BU147" i="7"/>
  <c r="BU199" i="7"/>
  <c r="BU203" i="7"/>
  <c r="BU202" i="7"/>
  <c r="BV34" i="7" l="1"/>
  <c r="BV30" i="7"/>
  <c r="BV25" i="7"/>
  <c r="BU29" i="7"/>
  <c r="BG29" i="7" s="1"/>
  <c r="BU31" i="7"/>
  <c r="AY31" i="7" s="1"/>
  <c r="BU35" i="7"/>
  <c r="BG35" i="7" s="1"/>
  <c r="BU27" i="7"/>
  <c r="BU11" i="7"/>
  <c r="AU11" i="7" s="1"/>
  <c r="BU25" i="7"/>
  <c r="AO25" i="7" s="1"/>
  <c r="BU15" i="7"/>
  <c r="AU15" i="7" s="1"/>
  <c r="BU23" i="7"/>
  <c r="AW23" i="7" s="1"/>
  <c r="BU7" i="7"/>
  <c r="AU7" i="7" s="1"/>
  <c r="BU33" i="7"/>
  <c r="AW33" i="7" s="1"/>
  <c r="BU17" i="7"/>
  <c r="AS17" i="7" s="1"/>
  <c r="BU19" i="7"/>
  <c r="AU19" i="7" s="1"/>
  <c r="BU13" i="7"/>
  <c r="AZ13" i="7" s="1"/>
  <c r="BU9" i="7"/>
  <c r="BB9" i="7" s="1"/>
  <c r="BU21" i="7"/>
  <c r="BG21" i="7" s="1"/>
  <c r="BU5" i="7"/>
  <c r="AM19" i="7"/>
  <c r="BF19" i="7"/>
  <c r="AX19" i="7"/>
  <c r="AS19" i="7"/>
  <c r="AO19" i="7"/>
  <c r="BD19" i="7"/>
  <c r="AN19" i="7"/>
  <c r="AT19" i="7"/>
  <c r="AV19" i="7"/>
  <c r="AY15" i="7"/>
  <c r="BF15" i="7"/>
  <c r="BA15" i="7"/>
  <c r="AK15" i="7"/>
  <c r="AR15" i="7"/>
  <c r="AN15" i="7"/>
  <c r="AU35" i="7"/>
  <c r="BB35" i="7"/>
  <c r="AW35" i="7"/>
  <c r="BH35" i="7"/>
  <c r="AL35" i="7"/>
  <c r="AR35" i="7"/>
  <c r="AU31" i="7"/>
  <c r="AQ31" i="7"/>
  <c r="AX31" i="7"/>
  <c r="BE31" i="7"/>
  <c r="AO31" i="7"/>
  <c r="BH31" i="7"/>
  <c r="AP31" i="7"/>
  <c r="AV31" i="7"/>
  <c r="BG27" i="7"/>
  <c r="AS27" i="7"/>
  <c r="BD27" i="7"/>
  <c r="BG11" i="7"/>
  <c r="AP11" i="7"/>
  <c r="BE5" i="7"/>
  <c r="BA5" i="7"/>
  <c r="AW5" i="7"/>
  <c r="AS5" i="7"/>
  <c r="AO5" i="7"/>
  <c r="AK5" i="7"/>
  <c r="BH5" i="7"/>
  <c r="BD5" i="7"/>
  <c r="AZ5" i="7"/>
  <c r="BG5" i="7"/>
  <c r="BC5" i="7"/>
  <c r="AY5" i="7"/>
  <c r="AU5" i="7"/>
  <c r="AQ5" i="7"/>
  <c r="AM5" i="7"/>
  <c r="BF5" i="7"/>
  <c r="BB5" i="7"/>
  <c r="AX5" i="7"/>
  <c r="AL5" i="7"/>
  <c r="AV5" i="7"/>
  <c r="AP5" i="7"/>
  <c r="AT5" i="7"/>
  <c r="AN5" i="7"/>
  <c r="AR5" i="7"/>
  <c r="BE33" i="7"/>
  <c r="BA33" i="7"/>
  <c r="AO33" i="7"/>
  <c r="AK33" i="7"/>
  <c r="AZ33" i="7"/>
  <c r="AV33" i="7"/>
  <c r="BG33" i="7"/>
  <c r="BC33" i="7"/>
  <c r="AQ33" i="7"/>
  <c r="AM33" i="7"/>
  <c r="AX33" i="7"/>
  <c r="AP33" i="7"/>
  <c r="AW17" i="7"/>
  <c r="BD17" i="7"/>
  <c r="AQ17" i="7"/>
  <c r="AP17" i="7"/>
  <c r="AV17" i="7"/>
  <c r="BU28" i="7"/>
  <c r="BU20" i="7"/>
  <c r="BU34" i="7"/>
  <c r="BU10" i="7"/>
  <c r="BU4" i="7"/>
  <c r="BU16" i="7"/>
  <c r="BU6" i="7"/>
  <c r="BU24" i="7"/>
  <c r="BU12" i="7"/>
  <c r="BU26" i="7"/>
  <c r="BU22" i="7"/>
  <c r="BU18" i="7"/>
  <c r="BU32" i="7"/>
  <c r="BU8" i="7"/>
  <c r="BU30" i="7"/>
  <c r="BU14" i="7"/>
  <c r="AL7" i="7" l="1"/>
  <c r="BD11" i="7"/>
  <c r="BA7" i="7"/>
  <c r="BA11" i="7"/>
  <c r="AY7" i="7"/>
  <c r="AM11" i="7"/>
  <c r="AZ7" i="7"/>
  <c r="BE7" i="7"/>
  <c r="BC7" i="7"/>
  <c r="AN11" i="7"/>
  <c r="AK11" i="7"/>
  <c r="BE11" i="7"/>
  <c r="AQ11" i="7"/>
  <c r="AT7" i="7"/>
  <c r="AK7" i="7"/>
  <c r="BF7" i="7"/>
  <c r="AV11" i="7"/>
  <c r="AO11" i="7"/>
  <c r="AX11" i="7"/>
  <c r="AY11" i="7"/>
  <c r="AR7" i="7"/>
  <c r="AO7" i="7"/>
  <c r="AM7" i="7"/>
  <c r="AR11" i="7"/>
  <c r="AZ11" i="7"/>
  <c r="AS11" i="7"/>
  <c r="BF11" i="7"/>
  <c r="BC11" i="7"/>
  <c r="AX17" i="7"/>
  <c r="BH17" i="7"/>
  <c r="AV35" i="7"/>
  <c r="AK35" i="7"/>
  <c r="BA35" i="7"/>
  <c r="BF35" i="7"/>
  <c r="AY35" i="7"/>
  <c r="AL15" i="7"/>
  <c r="AZ15" i="7"/>
  <c r="AO15" i="7"/>
  <c r="BE15" i="7"/>
  <c r="AM15" i="7"/>
  <c r="BC15" i="7"/>
  <c r="AR17" i="7"/>
  <c r="BF17" i="7"/>
  <c r="BC17" i="7"/>
  <c r="AK17" i="7"/>
  <c r="AL33" i="7"/>
  <c r="BB33" i="7"/>
  <c r="AU33" i="7"/>
  <c r="AN33" i="7"/>
  <c r="BD33" i="7"/>
  <c r="AS33" i="7"/>
  <c r="AX25" i="7"/>
  <c r="AL31" i="7"/>
  <c r="AZ31" i="7"/>
  <c r="AS31" i="7"/>
  <c r="BB31" i="7"/>
  <c r="BC31" i="7"/>
  <c r="AN35" i="7"/>
  <c r="AZ35" i="7"/>
  <c r="AO35" i="7"/>
  <c r="BE35" i="7"/>
  <c r="AM35" i="7"/>
  <c r="BC35" i="7"/>
  <c r="AV15" i="7"/>
  <c r="BD15" i="7"/>
  <c r="AS15" i="7"/>
  <c r="AX15" i="7"/>
  <c r="AQ15" i="7"/>
  <c r="BG15" i="7"/>
  <c r="AZ19" i="7"/>
  <c r="BA19" i="7"/>
  <c r="BC19" i="7"/>
  <c r="AL17" i="7"/>
  <c r="AY17" i="7"/>
  <c r="BA17" i="7"/>
  <c r="AT35" i="7"/>
  <c r="AT17" i="7"/>
  <c r="AM17" i="7"/>
  <c r="BG17" i="7"/>
  <c r="AT33" i="7"/>
  <c r="BF33" i="7"/>
  <c r="AY33" i="7"/>
  <c r="AR33" i="7"/>
  <c r="BH33" i="7"/>
  <c r="AT31" i="7"/>
  <c r="BD31" i="7"/>
  <c r="AW31" i="7"/>
  <c r="AM31" i="7"/>
  <c r="BG31" i="7"/>
  <c r="AP35" i="7"/>
  <c r="BD35" i="7"/>
  <c r="AS35" i="7"/>
  <c r="AX35" i="7"/>
  <c r="AQ35" i="7"/>
  <c r="AP15" i="7"/>
  <c r="AT15" i="7"/>
  <c r="BH15" i="7"/>
  <c r="AW15" i="7"/>
  <c r="BB15" i="7"/>
  <c r="AP7" i="7"/>
  <c r="BD7" i="7"/>
  <c r="AS7" i="7"/>
  <c r="AX7" i="7"/>
  <c r="AQ7" i="7"/>
  <c r="BG7" i="7"/>
  <c r="AR19" i="7"/>
  <c r="AK19" i="7"/>
  <c r="BE19" i="7"/>
  <c r="AV7" i="7"/>
  <c r="AN7" i="7"/>
  <c r="BH7" i="7"/>
  <c r="AW7" i="7"/>
  <c r="BB7" i="7"/>
  <c r="BA9" i="7"/>
  <c r="AS13" i="7"/>
  <c r="BD13" i="7"/>
  <c r="AY13" i="7"/>
  <c r="BF13" i="7"/>
  <c r="AN13" i="7"/>
  <c r="AP13" i="7"/>
  <c r="AO13" i="7"/>
  <c r="BG13" i="7"/>
  <c r="AM13" i="7"/>
  <c r="AR13" i="7"/>
  <c r="BE13" i="7"/>
  <c r="AK13" i="7"/>
  <c r="BC13" i="7"/>
  <c r="BB13" i="7"/>
  <c r="AL13" i="7"/>
  <c r="BA13" i="7"/>
  <c r="BH13" i="7"/>
  <c r="AU13" i="7"/>
  <c r="AX13" i="7"/>
  <c r="AV13" i="7"/>
  <c r="AS29" i="7"/>
  <c r="BD29" i="7"/>
  <c r="AN29" i="7"/>
  <c r="AU29" i="7"/>
  <c r="BB29" i="7"/>
  <c r="AT29" i="7"/>
  <c r="AW29" i="7"/>
  <c r="AZ29" i="7"/>
  <c r="BC29" i="7"/>
  <c r="BF29" i="7"/>
  <c r="AO29" i="7"/>
  <c r="AV29" i="7"/>
  <c r="AY29" i="7"/>
  <c r="AX29" i="7"/>
  <c r="BE29" i="7"/>
  <c r="AK29" i="7"/>
  <c r="AR29" i="7"/>
  <c r="AQ29" i="7"/>
  <c r="AL29" i="7"/>
  <c r="BB21" i="7"/>
  <c r="BH29" i="7"/>
  <c r="AN9" i="7"/>
  <c r="AW13" i="7"/>
  <c r="AP29" i="7"/>
  <c r="BA29" i="7"/>
  <c r="AT13" i="7"/>
  <c r="AS21" i="7"/>
  <c r="BA21" i="7"/>
  <c r="BH21" i="7"/>
  <c r="AU21" i="7"/>
  <c r="AX21" i="7"/>
  <c r="AN21" i="7"/>
  <c r="AO21" i="7"/>
  <c r="BC21" i="7"/>
  <c r="AL21" i="7"/>
  <c r="AK21" i="7"/>
  <c r="AQ21" i="7"/>
  <c r="AP21" i="7"/>
  <c r="BE21" i="7"/>
  <c r="AZ21" i="7"/>
  <c r="AM21" i="7"/>
  <c r="AT21" i="7"/>
  <c r="AW9" i="7"/>
  <c r="AS9" i="7"/>
  <c r="AZ9" i="7"/>
  <c r="AQ9" i="7"/>
  <c r="AL9" i="7"/>
  <c r="AO9" i="7"/>
  <c r="AY9" i="7"/>
  <c r="AX9" i="7"/>
  <c r="AK9" i="7"/>
  <c r="AU9" i="7"/>
  <c r="AV9" i="7"/>
  <c r="BE9" i="7"/>
  <c r="BD9" i="7"/>
  <c r="BF9" i="7"/>
  <c r="AP9" i="7"/>
  <c r="AL23" i="7"/>
  <c r="AU23" i="7"/>
  <c r="AW21" i="7"/>
  <c r="AM29" i="7"/>
  <c r="BG9" i="7"/>
  <c r="AQ13" i="7"/>
  <c r="BG19" i="7"/>
  <c r="AY19" i="7"/>
  <c r="BB19" i="7"/>
  <c r="AW19" i="7"/>
  <c r="BH19" i="7"/>
  <c r="AP19" i="7"/>
  <c r="AL19" i="7"/>
  <c r="BE17" i="7"/>
  <c r="AO17" i="7"/>
  <c r="AZ17" i="7"/>
  <c r="AU17" i="7"/>
  <c r="BB17" i="7"/>
  <c r="AN17" i="7"/>
  <c r="AT11" i="7"/>
  <c r="AL11" i="7"/>
  <c r="BH11" i="7"/>
  <c r="AW11" i="7"/>
  <c r="BB11" i="7"/>
  <c r="AN31" i="7"/>
  <c r="AR31" i="7"/>
  <c r="AK31" i="7"/>
  <c r="BA31" i="7"/>
  <c r="BF31" i="7"/>
  <c r="AR21" i="7"/>
  <c r="AV21" i="7"/>
  <c r="BF21" i="7"/>
  <c r="AY21" i="7"/>
  <c r="BD21" i="7"/>
  <c r="AT9" i="7"/>
  <c r="AR9" i="7"/>
  <c r="AM9" i="7"/>
  <c r="BC9" i="7"/>
  <c r="BH9" i="7"/>
  <c r="BC23" i="7"/>
  <c r="AM23" i="7"/>
  <c r="BE23" i="7"/>
  <c r="AO23" i="7"/>
  <c r="AZ23" i="7"/>
  <c r="AP23" i="7"/>
  <c r="AY23" i="7"/>
  <c r="BF23" i="7"/>
  <c r="BA23" i="7"/>
  <c r="AK23" i="7"/>
  <c r="AN23" i="7"/>
  <c r="AV23" i="7"/>
  <c r="BA25" i="7"/>
  <c r="AK25" i="7"/>
  <c r="AV25" i="7"/>
  <c r="BC25" i="7"/>
  <c r="AM25" i="7"/>
  <c r="AL25" i="7"/>
  <c r="AW25" i="7"/>
  <c r="BH25" i="7"/>
  <c r="AR25" i="7"/>
  <c r="AY25" i="7"/>
  <c r="BF25" i="7"/>
  <c r="AP25" i="7"/>
  <c r="AS25" i="7"/>
  <c r="BD25" i="7"/>
  <c r="AN25" i="7"/>
  <c r="AU25" i="7"/>
  <c r="BB25" i="7"/>
  <c r="AT25" i="7"/>
  <c r="BC27" i="7"/>
  <c r="AM27" i="7"/>
  <c r="BE27" i="7"/>
  <c r="AO27" i="7"/>
  <c r="AZ27" i="7"/>
  <c r="AV27" i="7"/>
  <c r="AY27" i="7"/>
  <c r="BF27" i="7"/>
  <c r="BA27" i="7"/>
  <c r="AK27" i="7"/>
  <c r="AN27" i="7"/>
  <c r="AL27" i="7"/>
  <c r="AU27" i="7"/>
  <c r="BB27" i="7"/>
  <c r="AW27" i="7"/>
  <c r="BH27" i="7"/>
  <c r="AT27" i="7"/>
  <c r="AP27" i="7"/>
  <c r="BD23" i="7"/>
  <c r="AX23" i="7"/>
  <c r="BG23" i="7"/>
  <c r="AQ25" i="7"/>
  <c r="BE25" i="7"/>
  <c r="AX27" i="7"/>
  <c r="AT23" i="7"/>
  <c r="BH23" i="7"/>
  <c r="BB23" i="7"/>
  <c r="BG25" i="7"/>
  <c r="AR27" i="7"/>
  <c r="AQ27" i="7"/>
  <c r="AR23" i="7"/>
  <c r="AS23" i="7"/>
  <c r="AQ23" i="7"/>
  <c r="AZ25" i="7"/>
  <c r="AQ19" i="7"/>
  <c r="BF20" i="7"/>
  <c r="BB20" i="7"/>
  <c r="AX20" i="7"/>
  <c r="BE20" i="7"/>
  <c r="BA20" i="7"/>
  <c r="AW20" i="7"/>
  <c r="BH20" i="7"/>
  <c r="BD20" i="7"/>
  <c r="AZ20" i="7"/>
  <c r="BG20" i="7"/>
  <c r="BC20" i="7"/>
  <c r="AY20" i="7"/>
  <c r="AU20" i="7"/>
  <c r="AN20" i="7"/>
  <c r="AK20" i="7"/>
  <c r="AT20" i="7"/>
  <c r="AR20" i="7"/>
  <c r="AO20" i="7"/>
  <c r="AM20" i="7"/>
  <c r="AV20" i="7"/>
  <c r="AS20" i="7"/>
  <c r="AL20" i="7"/>
  <c r="AQ20" i="7"/>
  <c r="AP20" i="7"/>
  <c r="BF8" i="7"/>
  <c r="BB8" i="7"/>
  <c r="AX8" i="7"/>
  <c r="BE8" i="7"/>
  <c r="BA8" i="7"/>
  <c r="AW8" i="7"/>
  <c r="BH8" i="7"/>
  <c r="BD8" i="7"/>
  <c r="AZ8" i="7"/>
  <c r="BG8" i="7"/>
  <c r="BC8" i="7"/>
  <c r="AY8" i="7"/>
  <c r="AQ8" i="7"/>
  <c r="AN8" i="7"/>
  <c r="AP8" i="7"/>
  <c r="AU8" i="7"/>
  <c r="AR8" i="7"/>
  <c r="AK8" i="7"/>
  <c r="AT8" i="7"/>
  <c r="AV8" i="7"/>
  <c r="AO8" i="7"/>
  <c r="AM8" i="7"/>
  <c r="AS8" i="7"/>
  <c r="AL8" i="7"/>
  <c r="BH26" i="7"/>
  <c r="BD26" i="7"/>
  <c r="AZ26" i="7"/>
  <c r="AV26" i="7"/>
  <c r="AR26" i="7"/>
  <c r="AN26" i="7"/>
  <c r="BG26" i="7"/>
  <c r="BC26" i="7"/>
  <c r="AY26" i="7"/>
  <c r="BF26" i="7"/>
  <c r="BB26" i="7"/>
  <c r="AX26" i="7"/>
  <c r="BE26" i="7"/>
  <c r="BA26" i="7"/>
  <c r="AW26" i="7"/>
  <c r="AS26" i="7"/>
  <c r="AT26" i="7"/>
  <c r="AM26" i="7"/>
  <c r="AK26" i="7"/>
  <c r="AL26" i="7"/>
  <c r="AQ26" i="7"/>
  <c r="AO26" i="7"/>
  <c r="AP26" i="7"/>
  <c r="AU26" i="7"/>
  <c r="BF32" i="7"/>
  <c r="BB32" i="7"/>
  <c r="AX32" i="7"/>
  <c r="BE32" i="7"/>
  <c r="BA32" i="7"/>
  <c r="AW32" i="7"/>
  <c r="BH32" i="7"/>
  <c r="BD32" i="7"/>
  <c r="AZ32" i="7"/>
  <c r="BG32" i="7"/>
  <c r="BC32" i="7"/>
  <c r="AY32" i="7"/>
  <c r="AN32" i="7"/>
  <c r="AM32" i="7"/>
  <c r="AR32" i="7"/>
  <c r="AK32" i="7"/>
  <c r="AL32" i="7"/>
  <c r="AQ32" i="7"/>
  <c r="AV32" i="7"/>
  <c r="AO32" i="7"/>
  <c r="AP32" i="7"/>
  <c r="AU32" i="7"/>
  <c r="AS32" i="7"/>
  <c r="AT32" i="7"/>
  <c r="BF12" i="7"/>
  <c r="BB12" i="7"/>
  <c r="AX12" i="7"/>
  <c r="BE12" i="7"/>
  <c r="BA12" i="7"/>
  <c r="AW12" i="7"/>
  <c r="BH12" i="7"/>
  <c r="BD12" i="7"/>
  <c r="AZ12" i="7"/>
  <c r="BG12" i="7"/>
  <c r="BC12" i="7"/>
  <c r="AY12" i="7"/>
  <c r="AM12" i="7"/>
  <c r="AN12" i="7"/>
  <c r="AS12" i="7"/>
  <c r="AL12" i="7"/>
  <c r="AQ12" i="7"/>
  <c r="AR12" i="7"/>
  <c r="AP12" i="7"/>
  <c r="AU12" i="7"/>
  <c r="AV12" i="7"/>
  <c r="AK12" i="7"/>
  <c r="AT12" i="7"/>
  <c r="AO12" i="7"/>
  <c r="BE4" i="7"/>
  <c r="BA4" i="7"/>
  <c r="AW4" i="7"/>
  <c r="BH4" i="7"/>
  <c r="BD4" i="7"/>
  <c r="AZ4" i="7"/>
  <c r="BG4" i="7"/>
  <c r="BC4" i="7"/>
  <c r="AY4" i="7"/>
  <c r="BB4" i="7"/>
  <c r="AX4" i="7"/>
  <c r="BF4" i="7"/>
  <c r="AP4" i="7"/>
  <c r="AT4" i="7"/>
  <c r="AS4" i="7"/>
  <c r="AN4" i="7"/>
  <c r="AU4" i="7"/>
  <c r="AO4" i="7"/>
  <c r="AQ4" i="7"/>
  <c r="AK4" i="7"/>
  <c r="AV4" i="7"/>
  <c r="AM4" i="7"/>
  <c r="AR4" i="7"/>
  <c r="AL4" i="7"/>
  <c r="BH10" i="7"/>
  <c r="BD10" i="7"/>
  <c r="AZ10" i="7"/>
  <c r="AV10" i="7"/>
  <c r="AR10" i="7"/>
  <c r="AN10" i="7"/>
  <c r="BG10" i="7"/>
  <c r="BC10" i="7"/>
  <c r="AY10" i="7"/>
  <c r="BF10" i="7"/>
  <c r="BB10" i="7"/>
  <c r="AX10" i="7"/>
  <c r="BE10" i="7"/>
  <c r="BA10" i="7"/>
  <c r="AW10" i="7"/>
  <c r="AK10" i="7"/>
  <c r="AT10" i="7"/>
  <c r="AM10" i="7"/>
  <c r="AO10" i="7"/>
  <c r="AQ10" i="7"/>
  <c r="AS10" i="7"/>
  <c r="AL10" i="7"/>
  <c r="AU10" i="7"/>
  <c r="AP10" i="7"/>
  <c r="BF28" i="7"/>
  <c r="BB28" i="7"/>
  <c r="AX28" i="7"/>
  <c r="BE28" i="7"/>
  <c r="BA28" i="7"/>
  <c r="AW28" i="7"/>
  <c r="BH28" i="7"/>
  <c r="BD28" i="7"/>
  <c r="AZ28" i="7"/>
  <c r="BG28" i="7"/>
  <c r="BC28" i="7"/>
  <c r="AY28" i="7"/>
  <c r="AU28" i="7"/>
  <c r="AN28" i="7"/>
  <c r="AK28" i="7"/>
  <c r="AL28" i="7"/>
  <c r="AR28" i="7"/>
  <c r="AO28" i="7"/>
  <c r="AP28" i="7"/>
  <c r="AM28" i="7"/>
  <c r="AV28" i="7"/>
  <c r="AS28" i="7"/>
  <c r="AT28" i="7"/>
  <c r="AQ28" i="7"/>
  <c r="BH18" i="7"/>
  <c r="BD18" i="7"/>
  <c r="AZ18" i="7"/>
  <c r="AV18" i="7"/>
  <c r="AR18" i="7"/>
  <c r="AN18" i="7"/>
  <c r="BG18" i="7"/>
  <c r="BC18" i="7"/>
  <c r="AY18" i="7"/>
  <c r="BF18" i="7"/>
  <c r="BB18" i="7"/>
  <c r="AX18" i="7"/>
  <c r="BE18" i="7"/>
  <c r="BA18" i="7"/>
  <c r="AW18" i="7"/>
  <c r="AS18" i="7"/>
  <c r="AT18" i="7"/>
  <c r="AU18" i="7"/>
  <c r="AK18" i="7"/>
  <c r="AL18" i="7"/>
  <c r="AM18" i="7"/>
  <c r="AO18" i="7"/>
  <c r="AP18" i="7"/>
  <c r="AQ18" i="7"/>
  <c r="BF24" i="7"/>
  <c r="BB24" i="7"/>
  <c r="AX24" i="7"/>
  <c r="BE24" i="7"/>
  <c r="BA24" i="7"/>
  <c r="AW24" i="7"/>
  <c r="BH24" i="7"/>
  <c r="BD24" i="7"/>
  <c r="AZ24" i="7"/>
  <c r="BG24" i="7"/>
  <c r="BC24" i="7"/>
  <c r="AY24" i="7"/>
  <c r="AU24" i="7"/>
  <c r="AN24" i="7"/>
  <c r="AS24" i="7"/>
  <c r="AP24" i="7"/>
  <c r="AR24" i="7"/>
  <c r="AT24" i="7"/>
  <c r="AM24" i="7"/>
  <c r="AV24" i="7"/>
  <c r="AK24" i="7"/>
  <c r="AQ24" i="7"/>
  <c r="AO24" i="7"/>
  <c r="AL24" i="7"/>
  <c r="BH6" i="7"/>
  <c r="BD6" i="7"/>
  <c r="AZ6" i="7"/>
  <c r="AV6" i="7"/>
  <c r="AR6" i="7"/>
  <c r="AN6" i="7"/>
  <c r="BG6" i="7"/>
  <c r="BC6" i="7"/>
  <c r="AY6" i="7"/>
  <c r="BF6" i="7"/>
  <c r="BB6" i="7"/>
  <c r="AX6" i="7"/>
  <c r="BE6" i="7"/>
  <c r="BA6" i="7"/>
  <c r="AW6" i="7"/>
  <c r="AO6" i="7"/>
  <c r="AT6" i="7"/>
  <c r="AQ6" i="7"/>
  <c r="AS6" i="7"/>
  <c r="AU6" i="7"/>
  <c r="AL6" i="7"/>
  <c r="AK6" i="7"/>
  <c r="AP6" i="7"/>
  <c r="AM6" i="7"/>
  <c r="BH34" i="7"/>
  <c r="BD34" i="7"/>
  <c r="AZ34" i="7"/>
  <c r="AV34" i="7"/>
  <c r="AR34" i="7"/>
  <c r="AN34" i="7"/>
  <c r="BG34" i="7"/>
  <c r="BC34" i="7"/>
  <c r="AY34" i="7"/>
  <c r="BF34" i="7"/>
  <c r="BB34" i="7"/>
  <c r="AX34" i="7"/>
  <c r="BE34" i="7"/>
  <c r="BA34" i="7"/>
  <c r="AW34" i="7"/>
  <c r="AK34" i="7"/>
  <c r="AT34" i="7"/>
  <c r="AQ34" i="7"/>
  <c r="AO34" i="7"/>
  <c r="AU34" i="7"/>
  <c r="AS34" i="7"/>
  <c r="AL34" i="7"/>
  <c r="AP34" i="7"/>
  <c r="AM34" i="7"/>
  <c r="BH30" i="7"/>
  <c r="BD30" i="7"/>
  <c r="AZ30" i="7"/>
  <c r="AV30" i="7"/>
  <c r="AR30" i="7"/>
  <c r="AN30" i="7"/>
  <c r="BG30" i="7"/>
  <c r="BC30" i="7"/>
  <c r="AY30" i="7"/>
  <c r="BF30" i="7"/>
  <c r="BB30" i="7"/>
  <c r="AX30" i="7"/>
  <c r="BE30" i="7"/>
  <c r="BA30" i="7"/>
  <c r="AW30" i="7"/>
  <c r="AT30" i="7"/>
  <c r="AU30" i="7"/>
  <c r="AK30" i="7"/>
  <c r="AO30" i="7"/>
  <c r="AL30" i="7"/>
  <c r="AM30" i="7"/>
  <c r="AS30" i="7"/>
  <c r="AP30" i="7"/>
  <c r="AQ30" i="7"/>
  <c r="BH14" i="7"/>
  <c r="BD14" i="7"/>
  <c r="AZ14" i="7"/>
  <c r="AV14" i="7"/>
  <c r="AR14" i="7"/>
  <c r="AN14" i="7"/>
  <c r="BG14" i="7"/>
  <c r="BC14" i="7"/>
  <c r="AY14" i="7"/>
  <c r="BF14" i="7"/>
  <c r="BB14" i="7"/>
  <c r="AX14" i="7"/>
  <c r="BE14" i="7"/>
  <c r="BA14" i="7"/>
  <c r="AW14" i="7"/>
  <c r="AT14" i="7"/>
  <c r="AK14" i="7"/>
  <c r="AM14" i="7"/>
  <c r="AO14" i="7"/>
  <c r="AL14" i="7"/>
  <c r="AQ14" i="7"/>
  <c r="AS14" i="7"/>
  <c r="AP14" i="7"/>
  <c r="AU14" i="7"/>
  <c r="BH22" i="7"/>
  <c r="BD22" i="7"/>
  <c r="AZ22" i="7"/>
  <c r="AV22" i="7"/>
  <c r="AR22" i="7"/>
  <c r="AN22" i="7"/>
  <c r="BG22" i="7"/>
  <c r="BC22" i="7"/>
  <c r="AY22" i="7"/>
  <c r="BF22" i="7"/>
  <c r="BB22" i="7"/>
  <c r="AX22" i="7"/>
  <c r="BE22" i="7"/>
  <c r="BA22" i="7"/>
  <c r="AW22" i="7"/>
  <c r="AS22" i="7"/>
  <c r="AT22" i="7"/>
  <c r="AQ22" i="7"/>
  <c r="AU22" i="7"/>
  <c r="AK22" i="7"/>
  <c r="AL22" i="7"/>
  <c r="AO22" i="7"/>
  <c r="AP22" i="7"/>
  <c r="AM22" i="7"/>
  <c r="BF16" i="7"/>
  <c r="BB16" i="7"/>
  <c r="AX16" i="7"/>
  <c r="BE16" i="7"/>
  <c r="BA16" i="7"/>
  <c r="AW16" i="7"/>
  <c r="BH16" i="7"/>
  <c r="BD16" i="7"/>
  <c r="AZ16" i="7"/>
  <c r="BG16" i="7"/>
  <c r="BC16" i="7"/>
  <c r="AY16" i="7"/>
  <c r="AN16" i="7"/>
  <c r="AO16" i="7"/>
  <c r="AM16" i="7"/>
  <c r="AR16" i="7"/>
  <c r="AS16" i="7"/>
  <c r="AL16" i="7"/>
  <c r="AQ16" i="7"/>
  <c r="AV16" i="7"/>
  <c r="AP16" i="7"/>
  <c r="AU16" i="7"/>
  <c r="AK16" i="7"/>
  <c r="AT16" i="7"/>
  <c r="BW19" i="7" l="1"/>
  <c r="BW18" i="7"/>
  <c r="BW17" i="7"/>
  <c r="BW16" i="7"/>
  <c r="BW15" i="7"/>
  <c r="BW14" i="7"/>
  <c r="BW13" i="7"/>
  <c r="BW12" i="7"/>
  <c r="BW11" i="7"/>
  <c r="BW10" i="7"/>
  <c r="BW9" i="7"/>
  <c r="BW8" i="7"/>
  <c r="BW7" i="7"/>
  <c r="BW6" i="7"/>
  <c r="BW5" i="7"/>
  <c r="BW4" i="7"/>
  <c r="BW35" i="7"/>
  <c r="BW34" i="7"/>
  <c r="BW33" i="7"/>
  <c r="BW32" i="7"/>
  <c r="BW31" i="7"/>
  <c r="BW30" i="7"/>
  <c r="BW29" i="7"/>
  <c r="BW28" i="7"/>
  <c r="BW27" i="7"/>
  <c r="BW26" i="7"/>
  <c r="BW25" i="7"/>
  <c r="BW24" i="7"/>
  <c r="BW23" i="7"/>
  <c r="BW22" i="7"/>
  <c r="BW21" i="7"/>
  <c r="BW20" i="7"/>
  <c r="AJ20" i="7" l="1"/>
  <c r="AB20" i="7"/>
  <c r="AF20" i="7"/>
  <c r="Z20" i="7"/>
  <c r="AA20" i="7"/>
  <c r="AE20" i="7"/>
  <c r="AD20" i="7"/>
  <c r="Y20" i="7"/>
  <c r="AI20" i="7"/>
  <c r="AH20" i="7"/>
  <c r="AC20" i="7"/>
  <c r="AG20" i="7"/>
  <c r="AH28" i="7"/>
  <c r="AG28" i="7"/>
  <c r="AA28" i="7"/>
  <c r="AD28" i="7"/>
  <c r="AC28" i="7"/>
  <c r="AE28" i="7"/>
  <c r="AJ28" i="7"/>
  <c r="AF28" i="7"/>
  <c r="Y28" i="7"/>
  <c r="AB28" i="7"/>
  <c r="Z28" i="7"/>
  <c r="AI28" i="7"/>
  <c r="Y8" i="7"/>
  <c r="AC8" i="7"/>
  <c r="AA8" i="7"/>
  <c r="AF8" i="7"/>
  <c r="AG8" i="7"/>
  <c r="Z8" i="7"/>
  <c r="AB8" i="7"/>
  <c r="AH8" i="7"/>
  <c r="CA8" i="7" s="1"/>
  <c r="AD8" i="7"/>
  <c r="BY8" i="7" s="1"/>
  <c r="AJ8" i="7"/>
  <c r="AI8" i="7"/>
  <c r="AE8" i="7"/>
  <c r="BZ8" i="7" s="1"/>
  <c r="AE16" i="7"/>
  <c r="AB16" i="7"/>
  <c r="Y16" i="7"/>
  <c r="AC16" i="7"/>
  <c r="AJ16" i="7"/>
  <c r="AG16" i="7"/>
  <c r="AI16" i="7"/>
  <c r="AF16" i="7"/>
  <c r="AH16" i="7"/>
  <c r="AA16" i="7"/>
  <c r="Z16" i="7"/>
  <c r="AD16" i="7"/>
  <c r="BY16" i="7" s="1"/>
  <c r="Z21" i="7"/>
  <c r="AA21" i="7"/>
  <c r="AE21" i="7"/>
  <c r="AJ21" i="7"/>
  <c r="CA21" i="7" s="1"/>
  <c r="AI21" i="7"/>
  <c r="AH21" i="7"/>
  <c r="AG21" i="7"/>
  <c r="AC21" i="7"/>
  <c r="BY21" i="7" s="1"/>
  <c r="AB21" i="7"/>
  <c r="Y21" i="7"/>
  <c r="AD21" i="7"/>
  <c r="AF21" i="7"/>
  <c r="AE25" i="7"/>
  <c r="AA25" i="7"/>
  <c r="AD25" i="7"/>
  <c r="AC25" i="7"/>
  <c r="Y25" i="7"/>
  <c r="AG25" i="7"/>
  <c r="AI25" i="7"/>
  <c r="AF25" i="7"/>
  <c r="Z25" i="7"/>
  <c r="AH25" i="7"/>
  <c r="AB25" i="7"/>
  <c r="AJ25" i="7"/>
  <c r="AF29" i="7"/>
  <c r="AB29" i="7"/>
  <c r="AC29" i="7"/>
  <c r="AG29" i="7"/>
  <c r="BZ29" i="7" s="1"/>
  <c r="AE29" i="7"/>
  <c r="Z29" i="7"/>
  <c r="AH29" i="7"/>
  <c r="AD29" i="7"/>
  <c r="AA29" i="7"/>
  <c r="AI29" i="7"/>
  <c r="AJ29" i="7"/>
  <c r="Y29" i="7"/>
  <c r="AE33" i="7"/>
  <c r="AB33" i="7"/>
  <c r="AD33" i="7"/>
  <c r="AI33" i="7"/>
  <c r="AC33" i="7"/>
  <c r="AG33" i="7"/>
  <c r="BZ33" i="7" s="1"/>
  <c r="AA33" i="7"/>
  <c r="Y33" i="7"/>
  <c r="Z33" i="7"/>
  <c r="AJ33" i="7"/>
  <c r="AF33" i="7"/>
  <c r="AH33" i="7"/>
  <c r="CA33" i="7" s="1"/>
  <c r="AC5" i="7"/>
  <c r="AH5" i="7"/>
  <c r="Z5" i="7"/>
  <c r="AA5" i="7"/>
  <c r="AG5" i="7"/>
  <c r="AB5" i="7"/>
  <c r="AF5" i="7"/>
  <c r="AE5" i="7"/>
  <c r="BZ5" i="7" s="1"/>
  <c r="AJ5" i="7"/>
  <c r="AD5" i="7"/>
  <c r="AI5" i="7"/>
  <c r="Y5" i="7"/>
  <c r="AF9" i="7"/>
  <c r="AJ9" i="7"/>
  <c r="AB9" i="7"/>
  <c r="AD9" i="7"/>
  <c r="AA9" i="7"/>
  <c r="Y9" i="7"/>
  <c r="Z9" i="7"/>
  <c r="AH9" i="7"/>
  <c r="CA9" i="7" s="1"/>
  <c r="AI9" i="7"/>
  <c r="AE9" i="7"/>
  <c r="BZ9" i="7" s="1"/>
  <c r="AG9" i="7"/>
  <c r="AC9" i="7"/>
  <c r="BY9" i="7" s="1"/>
  <c r="AB13" i="7"/>
  <c r="AH13" i="7"/>
  <c r="AG13" i="7"/>
  <c r="AE13" i="7"/>
  <c r="BZ13" i="7" s="1"/>
  <c r="AF13" i="7"/>
  <c r="AI13" i="7"/>
  <c r="AA13" i="7"/>
  <c r="AD13" i="7"/>
  <c r="AC13" i="7"/>
  <c r="Y13" i="7"/>
  <c r="Z13" i="7"/>
  <c r="AJ13" i="7"/>
  <c r="CA13" i="7" s="1"/>
  <c r="Z17" i="7"/>
  <c r="AJ17" i="7"/>
  <c r="Y17" i="7"/>
  <c r="AG17" i="7"/>
  <c r="AF17" i="7"/>
  <c r="AI17" i="7"/>
  <c r="AA17" i="7"/>
  <c r="AD17" i="7"/>
  <c r="AE17" i="7"/>
  <c r="AH17" i="7"/>
  <c r="AC17" i="7"/>
  <c r="AB17" i="7"/>
  <c r="BY17" i="7" s="1"/>
  <c r="AC4" i="7"/>
  <c r="Z4" i="7"/>
  <c r="AF4" i="7"/>
  <c r="AJ4" i="7"/>
  <c r="Y4" i="7"/>
  <c r="AA4" i="7"/>
  <c r="AI4" i="7"/>
  <c r="AB4" i="7"/>
  <c r="AH4" i="7"/>
  <c r="AE4" i="7"/>
  <c r="BZ4" i="7" s="1"/>
  <c r="AG4" i="7"/>
  <c r="AD4" i="7"/>
  <c r="AG22" i="7"/>
  <c r="AE22" i="7"/>
  <c r="AI22" i="7"/>
  <c r="Y22" i="7"/>
  <c r="AJ22" i="7"/>
  <c r="Z22" i="7"/>
  <c r="AD22" i="7"/>
  <c r="AH22" i="7"/>
  <c r="CA22" i="7" s="1"/>
  <c r="AB22" i="7"/>
  <c r="AC22" i="7"/>
  <c r="AA22" i="7"/>
  <c r="AF22" i="7"/>
  <c r="AD26" i="7"/>
  <c r="AA26" i="7"/>
  <c r="AH26" i="7"/>
  <c r="Y26" i="7"/>
  <c r="AI26" i="7"/>
  <c r="AB26" i="7"/>
  <c r="BY26" i="7" s="1"/>
  <c r="AG26" i="7"/>
  <c r="Z26" i="7"/>
  <c r="AF26" i="7"/>
  <c r="AJ26" i="7"/>
  <c r="AC26" i="7"/>
  <c r="AE26" i="7"/>
  <c r="BZ26" i="7" s="1"/>
  <c r="AE30" i="7"/>
  <c r="AF30" i="7"/>
  <c r="AH30" i="7"/>
  <c r="AJ30" i="7"/>
  <c r="AB30" i="7"/>
  <c r="AA30" i="7"/>
  <c r="Z30" i="7"/>
  <c r="AG30" i="7"/>
  <c r="BZ30" i="7" s="1"/>
  <c r="AC30" i="7"/>
  <c r="AD30" i="7"/>
  <c r="AI30" i="7"/>
  <c r="Y30" i="7"/>
  <c r="AG34" i="7"/>
  <c r="Y34" i="7"/>
  <c r="AH34" i="7"/>
  <c r="AC34" i="7"/>
  <c r="AJ34" i="7"/>
  <c r="AF34" i="7"/>
  <c r="Z34" i="7"/>
  <c r="AD34" i="7"/>
  <c r="AA34" i="7"/>
  <c r="AE34" i="7"/>
  <c r="BZ34" i="7" s="1"/>
  <c r="AB34" i="7"/>
  <c r="AI34" i="7"/>
  <c r="Z6" i="7"/>
  <c r="AA6" i="7"/>
  <c r="AH6" i="7"/>
  <c r="AC6" i="7"/>
  <c r="Y6" i="7"/>
  <c r="AG6" i="7"/>
  <c r="AE6" i="7"/>
  <c r="AI6" i="7"/>
  <c r="AB6" i="7"/>
  <c r="AF6" i="7"/>
  <c r="BZ6" i="7" s="1"/>
  <c r="AJ6" i="7"/>
  <c r="AD6" i="7"/>
  <c r="Y10" i="7"/>
  <c r="AF10" i="7"/>
  <c r="AB10" i="7"/>
  <c r="AJ10" i="7"/>
  <c r="AI10" i="7"/>
  <c r="AG10" i="7"/>
  <c r="AE10" i="7"/>
  <c r="AC10" i="7"/>
  <c r="AA10" i="7"/>
  <c r="AH10" i="7"/>
  <c r="AD10" i="7"/>
  <c r="Z10" i="7"/>
  <c r="BX10" i="7" s="1"/>
  <c r="AB14" i="7"/>
  <c r="AH14" i="7"/>
  <c r="AJ14" i="7"/>
  <c r="AE14" i="7"/>
  <c r="AD14" i="7"/>
  <c r="AG14" i="7"/>
  <c r="Y14" i="7"/>
  <c r="AC14" i="7"/>
  <c r="Z14" i="7"/>
  <c r="AA14" i="7"/>
  <c r="AF14" i="7"/>
  <c r="AI14" i="7"/>
  <c r="AC18" i="7"/>
  <c r="AD18" i="7"/>
  <c r="AI18" i="7"/>
  <c r="AA18" i="7"/>
  <c r="Y18" i="7"/>
  <c r="AH18" i="7"/>
  <c r="AE18" i="7"/>
  <c r="AG18" i="7"/>
  <c r="AF18" i="7"/>
  <c r="AB18" i="7"/>
  <c r="BY18" i="7" s="1"/>
  <c r="Z18" i="7"/>
  <c r="AJ18" i="7"/>
  <c r="AJ24" i="7"/>
  <c r="AI24" i="7"/>
  <c r="AG24" i="7"/>
  <c r="AB24" i="7"/>
  <c r="AD24" i="7"/>
  <c r="AH24" i="7"/>
  <c r="CA24" i="7" s="1"/>
  <c r="Y24" i="7"/>
  <c r="AC24" i="7"/>
  <c r="AF24" i="7"/>
  <c r="AE24" i="7"/>
  <c r="Z24" i="7"/>
  <c r="AA24" i="7"/>
  <c r="Z32" i="7"/>
  <c r="AE32" i="7"/>
  <c r="AD32" i="7"/>
  <c r="Y32" i="7"/>
  <c r="AI32" i="7"/>
  <c r="AG32" i="7"/>
  <c r="AH32" i="7"/>
  <c r="AJ32" i="7"/>
  <c r="AF32" i="7"/>
  <c r="AC32" i="7"/>
  <c r="BY32" i="7" s="1"/>
  <c r="AB32" i="7"/>
  <c r="AA32" i="7"/>
  <c r="AD12" i="7"/>
  <c r="AC12" i="7"/>
  <c r="AI12" i="7"/>
  <c r="Y12" i="7"/>
  <c r="AB12" i="7"/>
  <c r="AJ12" i="7"/>
  <c r="AF12" i="7"/>
  <c r="AG12" i="7"/>
  <c r="AE12" i="7"/>
  <c r="AA12" i="7"/>
  <c r="Z12" i="7"/>
  <c r="AH12" i="7"/>
  <c r="CA12" i="7" s="1"/>
  <c r="AG23" i="7"/>
  <c r="Z23" i="7"/>
  <c r="AC23" i="7"/>
  <c r="AH23" i="7"/>
  <c r="CA23" i="7" s="1"/>
  <c r="AJ23" i="7"/>
  <c r="AI23" i="7"/>
  <c r="AA23" i="7"/>
  <c r="Y23" i="7"/>
  <c r="AD23" i="7"/>
  <c r="AE23" i="7"/>
  <c r="BZ23" i="7" s="1"/>
  <c r="AF23" i="7"/>
  <c r="AB23" i="7"/>
  <c r="BY23" i="7" s="1"/>
  <c r="Y27" i="7"/>
  <c r="AE27" i="7"/>
  <c r="AC27" i="7"/>
  <c r="AB27" i="7"/>
  <c r="AA27" i="7"/>
  <c r="AG27" i="7"/>
  <c r="AJ27" i="7"/>
  <c r="AI27" i="7"/>
  <c r="AD27" i="7"/>
  <c r="Z27" i="7"/>
  <c r="BX27" i="7" s="1"/>
  <c r="AH27" i="7"/>
  <c r="AF27" i="7"/>
  <c r="AI31" i="7"/>
  <c r="AE31" i="7"/>
  <c r="AB31" i="7"/>
  <c r="AJ31" i="7"/>
  <c r="Z31" i="7"/>
  <c r="Y31" i="7"/>
  <c r="AG31" i="7"/>
  <c r="AH31" i="7"/>
  <c r="CA31" i="7" s="1"/>
  <c r="AD31" i="7"/>
  <c r="AC31" i="7"/>
  <c r="AF31" i="7"/>
  <c r="AA31" i="7"/>
  <c r="AD35" i="7"/>
  <c r="AF35" i="7"/>
  <c r="AI35" i="7"/>
  <c r="AE35" i="7"/>
  <c r="AA35" i="7"/>
  <c r="Z35" i="7"/>
  <c r="AJ35" i="7"/>
  <c r="Y35" i="7"/>
  <c r="AH35" i="7"/>
  <c r="AB35" i="7"/>
  <c r="AC35" i="7"/>
  <c r="AG35" i="7"/>
  <c r="Y7" i="7"/>
  <c r="AF7" i="7"/>
  <c r="AE7" i="7"/>
  <c r="Z7" i="7"/>
  <c r="AC7" i="7"/>
  <c r="AG7" i="7"/>
  <c r="AD7" i="7"/>
  <c r="AB7" i="7"/>
  <c r="AI7" i="7"/>
  <c r="AA7" i="7"/>
  <c r="AJ7" i="7"/>
  <c r="AH7" i="7"/>
  <c r="AB11" i="7"/>
  <c r="AI11" i="7"/>
  <c r="AF11" i="7"/>
  <c r="AA11" i="7"/>
  <c r="Z11" i="7"/>
  <c r="AJ11" i="7"/>
  <c r="AG11" i="7"/>
  <c r="Y11" i="7"/>
  <c r="AD11" i="7"/>
  <c r="AC11" i="7"/>
  <c r="AH11" i="7"/>
  <c r="AE11" i="7"/>
  <c r="BZ11" i="7" s="1"/>
  <c r="AG15" i="7"/>
  <c r="AI15" i="7"/>
  <c r="Y15" i="7"/>
  <c r="AC15" i="7"/>
  <c r="AB15" i="7"/>
  <c r="AF15" i="7"/>
  <c r="AJ15" i="7"/>
  <c r="AH15" i="7"/>
  <c r="CA15" i="7" s="1"/>
  <c r="Z15" i="7"/>
  <c r="AD15" i="7"/>
  <c r="AE15" i="7"/>
  <c r="AA15" i="7"/>
  <c r="AC19" i="7"/>
  <c r="AG19" i="7"/>
  <c r="AB19" i="7"/>
  <c r="AA19" i="7"/>
  <c r="AE19" i="7"/>
  <c r="AJ19" i="7"/>
  <c r="Z19" i="7"/>
  <c r="AF19" i="7"/>
  <c r="AI19" i="7"/>
  <c r="AH19" i="7"/>
  <c r="Y19" i="7"/>
  <c r="AD19" i="7"/>
  <c r="BY19" i="7" s="1"/>
  <c r="BZ31" i="7" l="1"/>
  <c r="BZ24" i="7"/>
  <c r="BX6" i="7"/>
  <c r="BY33" i="7"/>
  <c r="X11" i="7"/>
  <c r="X23" i="7"/>
  <c r="BX12" i="7"/>
  <c r="X12" i="7"/>
  <c r="BX32" i="7"/>
  <c r="X32" i="7"/>
  <c r="BX30" i="7"/>
  <c r="X30" i="7"/>
  <c r="BY4" i="7"/>
  <c r="X33" i="7"/>
  <c r="BX33" i="7"/>
  <c r="BX19" i="7"/>
  <c r="X19" i="7"/>
  <c r="BZ15" i="7"/>
  <c r="BX15" i="7"/>
  <c r="X15" i="7"/>
  <c r="CA11" i="7"/>
  <c r="BY35" i="7"/>
  <c r="CA35" i="7"/>
  <c r="BY31" i="7"/>
  <c r="CA27" i="7"/>
  <c r="BY27" i="7"/>
  <c r="BX23" i="7"/>
  <c r="CA32" i="7"/>
  <c r="BX24" i="7"/>
  <c r="X24" i="7"/>
  <c r="BZ18" i="7"/>
  <c r="BZ14" i="7"/>
  <c r="BX14" i="7"/>
  <c r="X14" i="7"/>
  <c r="BY10" i="7"/>
  <c r="CA6" i="7"/>
  <c r="BY34" i="7"/>
  <c r="BX34" i="7"/>
  <c r="CA34" i="7"/>
  <c r="CA30" i="7"/>
  <c r="CA26" i="7"/>
  <c r="BX17" i="7"/>
  <c r="X17" i="7"/>
  <c r="BX13" i="7"/>
  <c r="CA29" i="7"/>
  <c r="BY25" i="7"/>
  <c r="BZ21" i="7"/>
  <c r="BX16" i="7"/>
  <c r="X16" i="7"/>
  <c r="X22" i="7"/>
  <c r="BX5" i="7"/>
  <c r="X5" i="7"/>
  <c r="BX29" i="7"/>
  <c r="X29" i="7"/>
  <c r="BX20" i="7"/>
  <c r="X20" i="7"/>
  <c r="CA19" i="7"/>
  <c r="BY15" i="7"/>
  <c r="BZ7" i="7"/>
  <c r="BZ35" i="7"/>
  <c r="X31" i="7"/>
  <c r="BZ27" i="7"/>
  <c r="BZ32" i="7"/>
  <c r="CA18" i="7"/>
  <c r="CA14" i="7"/>
  <c r="CA10" i="7"/>
  <c r="BZ10" i="7"/>
  <c r="X34" i="7"/>
  <c r="BX22" i="7"/>
  <c r="BZ22" i="7"/>
  <c r="CA17" i="7"/>
  <c r="X13" i="7"/>
  <c r="X9" i="7"/>
  <c r="BY29" i="7"/>
  <c r="CA25" i="7"/>
  <c r="BZ25" i="7"/>
  <c r="BX21" i="7"/>
  <c r="X21" i="7"/>
  <c r="BZ16" i="7"/>
  <c r="BY28" i="7"/>
  <c r="BZ28" i="7"/>
  <c r="BZ20" i="7"/>
  <c r="BY20" i="7"/>
  <c r="BX35" i="7"/>
  <c r="X35" i="7"/>
  <c r="BY6" i="7"/>
  <c r="BX26" i="7"/>
  <c r="X26" i="7"/>
  <c r="BZ19" i="7"/>
  <c r="BX11" i="7"/>
  <c r="BY11" i="7"/>
  <c r="CA7" i="7"/>
  <c r="BY7" i="7"/>
  <c r="X7" i="7"/>
  <c r="BX7" i="7"/>
  <c r="BX31" i="7"/>
  <c r="X27" i="7"/>
  <c r="BZ12" i="7"/>
  <c r="BY12" i="7"/>
  <c r="BY24" i="7"/>
  <c r="BX18" i="7"/>
  <c r="X18" i="7"/>
  <c r="BY14" i="7"/>
  <c r="X10" i="7"/>
  <c r="X6" i="7"/>
  <c r="BY30" i="7"/>
  <c r="BY22" i="7"/>
  <c r="CA4" i="7"/>
  <c r="BX4" i="7"/>
  <c r="X4" i="7"/>
  <c r="BZ17" i="7"/>
  <c r="BY13" i="7"/>
  <c r="BX9" i="7"/>
  <c r="CA5" i="7"/>
  <c r="BY5" i="7"/>
  <c r="BX25" i="7"/>
  <c r="X25" i="7"/>
  <c r="CA16" i="7"/>
  <c r="BX8" i="7"/>
  <c r="X8" i="7"/>
  <c r="BX28" i="7"/>
  <c r="X28" i="7"/>
  <c r="CA28" i="7"/>
  <c r="CA20" i="7"/>
  <c r="X1" i="7" l="1"/>
  <c r="L238" i="6" l="1"/>
  <c r="L237" i="6"/>
  <c r="L236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BV69" i="6"/>
  <c r="L69" i="6"/>
  <c r="BV68" i="6"/>
  <c r="L68" i="6"/>
  <c r="BV67" i="6"/>
  <c r="L67" i="6"/>
  <c r="BV66" i="6"/>
  <c r="L66" i="6"/>
  <c r="BV65" i="6"/>
  <c r="L65" i="6"/>
  <c r="BV64" i="6"/>
  <c r="L64" i="6"/>
  <c r="BV63" i="6"/>
  <c r="L63" i="6"/>
  <c r="BV62" i="6"/>
  <c r="L62" i="6"/>
  <c r="BV61" i="6"/>
  <c r="L61" i="6"/>
  <c r="BV60" i="6"/>
  <c r="L60" i="6"/>
  <c r="BV59" i="6"/>
  <c r="L59" i="6"/>
  <c r="BV58" i="6"/>
  <c r="L58" i="6"/>
  <c r="BV57" i="6"/>
  <c r="L57" i="6"/>
  <c r="BV56" i="6"/>
  <c r="L56" i="6"/>
  <c r="BV55" i="6"/>
  <c r="L55" i="6"/>
  <c r="BV54" i="6"/>
  <c r="L54" i="6"/>
  <c r="BV53" i="6"/>
  <c r="L53" i="6"/>
  <c r="BV52" i="6"/>
  <c r="L52" i="6"/>
  <c r="BV51" i="6"/>
  <c r="L51" i="6"/>
  <c r="BV50" i="6"/>
  <c r="L50" i="6"/>
  <c r="BV49" i="6"/>
  <c r="L49" i="6"/>
  <c r="BV48" i="6"/>
  <c r="L48" i="6"/>
  <c r="BV47" i="6"/>
  <c r="L47" i="6"/>
  <c r="BV46" i="6"/>
  <c r="L46" i="6"/>
  <c r="BV45" i="6"/>
  <c r="L45" i="6"/>
  <c r="BV44" i="6"/>
  <c r="L44" i="6"/>
  <c r="BV43" i="6"/>
  <c r="L43" i="6"/>
  <c r="L42" i="6"/>
  <c r="L41" i="6"/>
  <c r="L40" i="6"/>
  <c r="L39" i="6"/>
  <c r="L38" i="6"/>
  <c r="L37" i="6"/>
  <c r="L36" i="6"/>
  <c r="S35" i="6"/>
  <c r="L35" i="6"/>
  <c r="H35" i="6"/>
  <c r="E35" i="6"/>
  <c r="S34" i="6"/>
  <c r="BT34" i="6" s="1"/>
  <c r="L34" i="6"/>
  <c r="H34" i="6"/>
  <c r="E34" i="6"/>
  <c r="S33" i="6"/>
  <c r="BQ33" i="6" s="1"/>
  <c r="L33" i="6"/>
  <c r="H33" i="6"/>
  <c r="E33" i="6"/>
  <c r="S32" i="6"/>
  <c r="BT32" i="6" s="1"/>
  <c r="L32" i="6"/>
  <c r="H32" i="6"/>
  <c r="E32" i="6"/>
  <c r="S31" i="6"/>
  <c r="BL31" i="6" s="1"/>
  <c r="L31" i="6"/>
  <c r="H31" i="6"/>
  <c r="BV31" i="6" s="1"/>
  <c r="E31" i="6"/>
  <c r="S30" i="6"/>
  <c r="BN30" i="6" s="1"/>
  <c r="L30" i="6"/>
  <c r="H30" i="6"/>
  <c r="BV30" i="6" s="1"/>
  <c r="E30" i="6"/>
  <c r="S29" i="6"/>
  <c r="BO29" i="6" s="1"/>
  <c r="L29" i="6"/>
  <c r="H29" i="6"/>
  <c r="E29" i="6"/>
  <c r="S28" i="6"/>
  <c r="BN28" i="6" s="1"/>
  <c r="L28" i="6"/>
  <c r="H28" i="6"/>
  <c r="E28" i="6"/>
  <c r="S27" i="6"/>
  <c r="L27" i="6"/>
  <c r="H27" i="6"/>
  <c r="E27" i="6"/>
  <c r="S26" i="6"/>
  <c r="BJ26" i="6" s="1"/>
  <c r="L26" i="6"/>
  <c r="H26" i="6"/>
  <c r="E26" i="6"/>
  <c r="S25" i="6"/>
  <c r="L25" i="6"/>
  <c r="H25" i="6"/>
  <c r="E25" i="6"/>
  <c r="S24" i="6"/>
  <c r="BT24" i="6" s="1"/>
  <c r="L24" i="6"/>
  <c r="H24" i="6"/>
  <c r="E24" i="6"/>
  <c r="S23" i="6"/>
  <c r="BL23" i="6" s="1"/>
  <c r="L23" i="6"/>
  <c r="H23" i="6"/>
  <c r="E23" i="6"/>
  <c r="S22" i="6"/>
  <c r="BS22" i="6" s="1"/>
  <c r="L22" i="6"/>
  <c r="H22" i="6"/>
  <c r="E22" i="6"/>
  <c r="S21" i="6"/>
  <c r="L21" i="6"/>
  <c r="H21" i="6"/>
  <c r="E21" i="6"/>
  <c r="S20" i="6"/>
  <c r="BQ20" i="6" s="1"/>
  <c r="L20" i="6"/>
  <c r="H20" i="6"/>
  <c r="E20" i="6"/>
  <c r="BM19" i="6"/>
  <c r="S19" i="6"/>
  <c r="BL19" i="6" s="1"/>
  <c r="L19" i="6"/>
  <c r="H19" i="6"/>
  <c r="E19" i="6"/>
  <c r="S18" i="6"/>
  <c r="BN18" i="6" s="1"/>
  <c r="L18" i="6"/>
  <c r="H18" i="6"/>
  <c r="A18" i="6" s="1"/>
  <c r="BV18" i="6" s="1"/>
  <c r="E18" i="6"/>
  <c r="S17" i="6"/>
  <c r="L17" i="6"/>
  <c r="H17" i="6"/>
  <c r="E17" i="6"/>
  <c r="A17" i="6" s="1"/>
  <c r="BV17" i="6" s="1"/>
  <c r="S16" i="6"/>
  <c r="BQ16" i="6" s="1"/>
  <c r="L16" i="6"/>
  <c r="H16" i="6"/>
  <c r="E16" i="6"/>
  <c r="S15" i="6"/>
  <c r="BP15" i="6" s="1"/>
  <c r="L15" i="6"/>
  <c r="H15" i="6"/>
  <c r="E15" i="6"/>
  <c r="S14" i="6"/>
  <c r="BM14" i="6" s="1"/>
  <c r="L14" i="6"/>
  <c r="H14" i="6"/>
  <c r="E14" i="6"/>
  <c r="S13" i="6"/>
  <c r="BN13" i="6" s="1"/>
  <c r="L13" i="6"/>
  <c r="H13" i="6"/>
  <c r="E13" i="6"/>
  <c r="S12" i="6"/>
  <c r="BQ12" i="6" s="1"/>
  <c r="L12" i="6"/>
  <c r="H12" i="6"/>
  <c r="E12" i="6"/>
  <c r="S11" i="6"/>
  <c r="BN11" i="6" s="1"/>
  <c r="L11" i="6"/>
  <c r="H11" i="6"/>
  <c r="E11" i="6"/>
  <c r="S10" i="6"/>
  <c r="BN10" i="6" s="1"/>
  <c r="L10" i="6"/>
  <c r="H10" i="6"/>
  <c r="E10" i="6"/>
  <c r="S9" i="6"/>
  <c r="L9" i="6"/>
  <c r="H9" i="6"/>
  <c r="E9" i="6"/>
  <c r="S8" i="6"/>
  <c r="BP8" i="6" s="1"/>
  <c r="L8" i="6"/>
  <c r="H8" i="6"/>
  <c r="E8" i="6"/>
  <c r="S7" i="6"/>
  <c r="BP7" i="6" s="1"/>
  <c r="L7" i="6"/>
  <c r="H7" i="6"/>
  <c r="E7" i="6"/>
  <c r="S6" i="6"/>
  <c r="L6" i="6"/>
  <c r="H6" i="6"/>
  <c r="E6" i="6"/>
  <c r="S5" i="6"/>
  <c r="BN5" i="6" s="1"/>
  <c r="L5" i="6"/>
  <c r="H5" i="6"/>
  <c r="E5" i="6"/>
  <c r="S4" i="6"/>
  <c r="BP4" i="6" s="1"/>
  <c r="L4" i="6"/>
  <c r="H4" i="6"/>
  <c r="E4" i="6"/>
  <c r="BZ1" i="6"/>
  <c r="B1" i="6"/>
  <c r="A27" i="6" l="1"/>
  <c r="BV27" i="6" s="1"/>
  <c r="BL11" i="6"/>
  <c r="A21" i="6"/>
  <c r="BV21" i="6" s="1"/>
  <c r="A29" i="6"/>
  <c r="BV29" i="6" s="1"/>
  <c r="BJ11" i="6"/>
  <c r="BR19" i="6"/>
  <c r="BS31" i="6"/>
  <c r="A13" i="6"/>
  <c r="BV13" i="6" s="1"/>
  <c r="BN14" i="6"/>
  <c r="A12" i="6"/>
  <c r="BV12" i="6" s="1"/>
  <c r="A15" i="6"/>
  <c r="BV15" i="6" s="1"/>
  <c r="BM31" i="6"/>
  <c r="BR22" i="6"/>
  <c r="BI22" i="6"/>
  <c r="BM28" i="6"/>
  <c r="BT7" i="6"/>
  <c r="BT11" i="6"/>
  <c r="BM22" i="6"/>
  <c r="BI7" i="6"/>
  <c r="BL7" i="6"/>
  <c r="A9" i="6"/>
  <c r="BV9" i="6" s="1"/>
  <c r="A20" i="6"/>
  <c r="BV20" i="6" s="1"/>
  <c r="BJ22" i="6"/>
  <c r="A26" i="6"/>
  <c r="BV26" i="6" s="1"/>
  <c r="BT28" i="6"/>
  <c r="A30" i="6"/>
  <c r="W30" i="6" s="1"/>
  <c r="BT31" i="6"/>
  <c r="BQ6" i="6"/>
  <c r="BN6" i="6"/>
  <c r="BR23" i="6"/>
  <c r="BM6" i="6"/>
  <c r="BT15" i="6"/>
  <c r="BJ15" i="6"/>
  <c r="BR15" i="6"/>
  <c r="BJ23" i="6"/>
  <c r="BS11" i="6"/>
  <c r="BP11" i="6"/>
  <c r="BI11" i="6"/>
  <c r="BQ11" i="6"/>
  <c r="BI15" i="6"/>
  <c r="BT19" i="6"/>
  <c r="BM23" i="6"/>
  <c r="A24" i="6"/>
  <c r="BV24" i="6" s="1"/>
  <c r="BT29" i="6"/>
  <c r="BP29" i="6"/>
  <c r="A5" i="6"/>
  <c r="BV5" i="6" s="1"/>
  <c r="A7" i="6"/>
  <c r="BV7" i="6" s="1"/>
  <c r="BM15" i="6"/>
  <c r="A16" i="6"/>
  <c r="BV16" i="6" s="1"/>
  <c r="BQ23" i="6"/>
  <c r="A25" i="6"/>
  <c r="BV25" i="6" s="1"/>
  <c r="A32" i="6"/>
  <c r="BV32" i="6" s="1"/>
  <c r="A4" i="6"/>
  <c r="BV4" i="6" s="1"/>
  <c r="A8" i="6"/>
  <c r="BV8" i="6" s="1"/>
  <c r="A11" i="6"/>
  <c r="BV11" i="6" s="1"/>
  <c r="A19" i="6"/>
  <c r="BV19" i="6" s="1"/>
  <c r="BQ22" i="6"/>
  <c r="A31" i="6"/>
  <c r="W31" i="6" s="1"/>
  <c r="A34" i="6"/>
  <c r="BV34" i="6" s="1"/>
  <c r="BS10" i="6"/>
  <c r="BM10" i="6"/>
  <c r="BQ10" i="6"/>
  <c r="BT17" i="6"/>
  <c r="BN17" i="6"/>
  <c r="BS18" i="6"/>
  <c r="BQ18" i="6"/>
  <c r="BI18" i="6"/>
  <c r="BT21" i="6"/>
  <c r="BJ21" i="6"/>
  <c r="BS34" i="6"/>
  <c r="BQ34" i="6"/>
  <c r="BL34" i="6"/>
  <c r="BR34" i="6"/>
  <c r="BJ34" i="6"/>
  <c r="BP34" i="6"/>
  <c r="BI34" i="6"/>
  <c r="BI10" i="6"/>
  <c r="BR10" i="6"/>
  <c r="BT13" i="6"/>
  <c r="BR13" i="6"/>
  <c r="BS14" i="6"/>
  <c r="BR14" i="6"/>
  <c r="BJ14" i="6"/>
  <c r="BQ14" i="6"/>
  <c r="BJ17" i="6"/>
  <c r="BJ18" i="6"/>
  <c r="BS19" i="6"/>
  <c r="BP19" i="6"/>
  <c r="BJ19" i="6"/>
  <c r="BN19" i="6"/>
  <c r="BN21" i="6"/>
  <c r="BQ25" i="6"/>
  <c r="BO25" i="6"/>
  <c r="BT25" i="6"/>
  <c r="BI25" i="6"/>
  <c r="BQ27" i="6"/>
  <c r="BM27" i="6"/>
  <c r="BS33" i="6"/>
  <c r="BR33" i="6"/>
  <c r="BJ33" i="6"/>
  <c r="BN33" i="6"/>
  <c r="BM33" i="6"/>
  <c r="BM34" i="6"/>
  <c r="BR9" i="6"/>
  <c r="BN9" i="6"/>
  <c r="BR18" i="6"/>
  <c r="BQ35" i="6"/>
  <c r="BL35" i="6"/>
  <c r="BT35" i="6"/>
  <c r="BP35" i="6"/>
  <c r="BS6" i="6"/>
  <c r="BR6" i="6"/>
  <c r="BJ6" i="6"/>
  <c r="BR5" i="6"/>
  <c r="BO5" i="6"/>
  <c r="BI6" i="6"/>
  <c r="BR7" i="6"/>
  <c r="BM7" i="6"/>
  <c r="BQ7" i="6"/>
  <c r="A10" i="6"/>
  <c r="BV10" i="6" s="1"/>
  <c r="BJ10" i="6"/>
  <c r="BJ13" i="6"/>
  <c r="BI14" i="6"/>
  <c r="BS15" i="6"/>
  <c r="BQ15" i="6"/>
  <c r="BL15" i="6"/>
  <c r="BN15" i="6"/>
  <c r="BR17" i="6"/>
  <c r="BM18" i="6"/>
  <c r="BI19" i="6"/>
  <c r="BQ19" i="6"/>
  <c r="BR21" i="6"/>
  <c r="A22" i="6"/>
  <c r="BV22" i="6" s="1"/>
  <c r="BS23" i="6"/>
  <c r="BT23" i="6"/>
  <c r="BN23" i="6"/>
  <c r="BI23" i="6"/>
  <c r="BP23" i="6"/>
  <c r="BR26" i="6"/>
  <c r="BO26" i="6"/>
  <c r="BT26" i="6"/>
  <c r="BS28" i="6"/>
  <c r="BQ28" i="6"/>
  <c r="BL28" i="6"/>
  <c r="BR28" i="6"/>
  <c r="BJ28" i="6"/>
  <c r="BP28" i="6"/>
  <c r="BI28" i="6"/>
  <c r="BI33" i="6"/>
  <c r="BN34" i="6"/>
  <c r="BR31" i="6"/>
  <c r="BP31" i="6"/>
  <c r="BK31" i="6"/>
  <c r="BO31" i="6"/>
  <c r="BM11" i="6"/>
  <c r="BR11" i="6"/>
  <c r="A14" i="6"/>
  <c r="BV14" i="6" s="1"/>
  <c r="BN22" i="6"/>
  <c r="A23" i="6"/>
  <c r="BV23" i="6" s="1"/>
  <c r="BI31" i="6"/>
  <c r="BQ31" i="6"/>
  <c r="A33" i="6"/>
  <c r="BV33" i="6" s="1"/>
  <c r="A35" i="6"/>
  <c r="BV35" i="6" s="1"/>
  <c r="BL4" i="6"/>
  <c r="BT4" i="6"/>
  <c r="BL8" i="6"/>
  <c r="BT8" i="6"/>
  <c r="BO9" i="6"/>
  <c r="BO4" i="6"/>
  <c r="BJ5" i="6"/>
  <c r="A6" i="6"/>
  <c r="BV6" i="6" s="1"/>
  <c r="BO8" i="6"/>
  <c r="BJ9" i="6"/>
  <c r="BT5" i="6"/>
  <c r="BP5" i="6"/>
  <c r="BL5" i="6"/>
  <c r="BQ5" i="6"/>
  <c r="BM5" i="6"/>
  <c r="BI5" i="6"/>
  <c r="BK5" i="6"/>
  <c r="BS5" i="6"/>
  <c r="BT9" i="6"/>
  <c r="BP9" i="6"/>
  <c r="BL9" i="6"/>
  <c r="BQ9" i="6"/>
  <c r="BM9" i="6"/>
  <c r="BI9" i="6"/>
  <c r="BK9" i="6"/>
  <c r="BS9" i="6"/>
  <c r="BQ4" i="6"/>
  <c r="BM4" i="6"/>
  <c r="BI4" i="6"/>
  <c r="BR4" i="6"/>
  <c r="BN4" i="6"/>
  <c r="BJ4" i="6"/>
  <c r="BK4" i="6"/>
  <c r="BS4" i="6"/>
  <c r="BQ8" i="6"/>
  <c r="BM8" i="6"/>
  <c r="BI8" i="6"/>
  <c r="BR8" i="6"/>
  <c r="BN8" i="6"/>
  <c r="BJ8" i="6"/>
  <c r="BK8" i="6"/>
  <c r="BS8" i="6"/>
  <c r="BL6" i="6"/>
  <c r="BP6" i="6"/>
  <c r="BT6" i="6"/>
  <c r="BK7" i="6"/>
  <c r="BO7" i="6"/>
  <c r="BS7" i="6"/>
  <c r="BL10" i="6"/>
  <c r="BP10" i="6"/>
  <c r="BT10" i="6"/>
  <c r="BK11" i="6"/>
  <c r="BO11" i="6"/>
  <c r="BJ12" i="6"/>
  <c r="BN12" i="6"/>
  <c r="BR12" i="6"/>
  <c r="BI13" i="6"/>
  <c r="BM13" i="6"/>
  <c r="BQ13" i="6"/>
  <c r="BL14" i="6"/>
  <c r="BP14" i="6"/>
  <c r="BT14" i="6"/>
  <c r="BK15" i="6"/>
  <c r="BO15" i="6"/>
  <c r="BJ16" i="6"/>
  <c r="BN16" i="6"/>
  <c r="BR16" i="6"/>
  <c r="BI17" i="6"/>
  <c r="BM17" i="6"/>
  <c r="BQ17" i="6"/>
  <c r="BL18" i="6"/>
  <c r="BP18" i="6"/>
  <c r="BT18" i="6"/>
  <c r="BK19" i="6"/>
  <c r="BO19" i="6"/>
  <c r="BJ20" i="6"/>
  <c r="BN20" i="6"/>
  <c r="BR20" i="6"/>
  <c r="BI21" i="6"/>
  <c r="BM21" i="6"/>
  <c r="BQ21" i="6"/>
  <c r="BL22" i="6"/>
  <c r="BP22" i="6"/>
  <c r="BT22" i="6"/>
  <c r="BL24" i="6"/>
  <c r="BK12" i="6"/>
  <c r="BO12" i="6"/>
  <c r="BS12" i="6"/>
  <c r="BK16" i="6"/>
  <c r="BO16" i="6"/>
  <c r="BS16" i="6"/>
  <c r="BK20" i="6"/>
  <c r="BO20" i="6"/>
  <c r="BS20" i="6"/>
  <c r="BS24" i="6"/>
  <c r="BO24" i="6"/>
  <c r="BK24" i="6"/>
  <c r="BR24" i="6"/>
  <c r="BN24" i="6"/>
  <c r="BJ24" i="6"/>
  <c r="BM24" i="6"/>
  <c r="BL12" i="6"/>
  <c r="BP12" i="6"/>
  <c r="BT12" i="6"/>
  <c r="BK13" i="6"/>
  <c r="BO13" i="6"/>
  <c r="BS13" i="6"/>
  <c r="BL16" i="6"/>
  <c r="BP16" i="6"/>
  <c r="BT16" i="6"/>
  <c r="BK17" i="6"/>
  <c r="BO17" i="6"/>
  <c r="BS17" i="6"/>
  <c r="BL20" i="6"/>
  <c r="BP20" i="6"/>
  <c r="BT20" i="6"/>
  <c r="BK21" i="6"/>
  <c r="BO21" i="6"/>
  <c r="BS21" i="6"/>
  <c r="BP24" i="6"/>
  <c r="BK6" i="6"/>
  <c r="BO6" i="6"/>
  <c r="BJ7" i="6"/>
  <c r="BN7" i="6"/>
  <c r="BK10" i="6"/>
  <c r="BO10" i="6"/>
  <c r="BI12" i="6"/>
  <c r="BM12" i="6"/>
  <c r="BL13" i="6"/>
  <c r="BP13" i="6"/>
  <c r="BK14" i="6"/>
  <c r="BO14" i="6"/>
  <c r="BI16" i="6"/>
  <c r="BM16" i="6"/>
  <c r="BL17" i="6"/>
  <c r="BP17" i="6"/>
  <c r="BK18" i="6"/>
  <c r="BO18" i="6"/>
  <c r="BI20" i="6"/>
  <c r="BM20" i="6"/>
  <c r="BL21" i="6"/>
  <c r="BP21" i="6"/>
  <c r="BK22" i="6"/>
  <c r="BO22" i="6"/>
  <c r="BI24" i="6"/>
  <c r="BQ24" i="6"/>
  <c r="BK23" i="6"/>
  <c r="BO23" i="6"/>
  <c r="BL25" i="6"/>
  <c r="BL26" i="6"/>
  <c r="BI27" i="6"/>
  <c r="BL29" i="6"/>
  <c r="BJ30" i="6"/>
  <c r="BR25" i="6"/>
  <c r="BN25" i="6"/>
  <c r="BJ25" i="6"/>
  <c r="BM25" i="6"/>
  <c r="BS25" i="6"/>
  <c r="BQ26" i="6"/>
  <c r="BM26" i="6"/>
  <c r="BI26" i="6"/>
  <c r="BN26" i="6"/>
  <c r="BS26" i="6"/>
  <c r="BS27" i="6"/>
  <c r="BO27" i="6"/>
  <c r="BK27" i="6"/>
  <c r="BT27" i="6"/>
  <c r="BP27" i="6"/>
  <c r="BL27" i="6"/>
  <c r="BJ27" i="6"/>
  <c r="BR27" i="6"/>
  <c r="A28" i="6"/>
  <c r="BV28" i="6" s="1"/>
  <c r="BS30" i="6"/>
  <c r="BO30" i="6"/>
  <c r="BK30" i="6"/>
  <c r="BQ30" i="6"/>
  <c r="BM30" i="6"/>
  <c r="BI30" i="6"/>
  <c r="BT30" i="6"/>
  <c r="BP30" i="6"/>
  <c r="BL30" i="6"/>
  <c r="BR30" i="6"/>
  <c r="BK25" i="6"/>
  <c r="BP25" i="6"/>
  <c r="BK26" i="6"/>
  <c r="BP26" i="6"/>
  <c r="BN27" i="6"/>
  <c r="BQ29" i="6"/>
  <c r="BM29" i="6"/>
  <c r="BI29" i="6"/>
  <c r="BR29" i="6"/>
  <c r="BN29" i="6"/>
  <c r="BJ29" i="6"/>
  <c r="BK29" i="6"/>
  <c r="BS29" i="6"/>
  <c r="BK28" i="6"/>
  <c r="BO28" i="6"/>
  <c r="BJ31" i="6"/>
  <c r="BN31" i="6"/>
  <c r="BI32" i="6"/>
  <c r="BM32" i="6"/>
  <c r="BQ32" i="6"/>
  <c r="BL33" i="6"/>
  <c r="BP33" i="6"/>
  <c r="BT33" i="6"/>
  <c r="BK34" i="6"/>
  <c r="BO34" i="6"/>
  <c r="BJ35" i="6"/>
  <c r="BN35" i="6"/>
  <c r="BR35" i="6"/>
  <c r="BJ32" i="6"/>
  <c r="BN32" i="6"/>
  <c r="BR32" i="6"/>
  <c r="BK35" i="6"/>
  <c r="BO35" i="6"/>
  <c r="BS35" i="6"/>
  <c r="BK32" i="6"/>
  <c r="BO32" i="6"/>
  <c r="BS32" i="6"/>
  <c r="BL32" i="6"/>
  <c r="BP32" i="6"/>
  <c r="BK33" i="6"/>
  <c r="BO33" i="6"/>
  <c r="BI35" i="6"/>
  <c r="BM35" i="6"/>
  <c r="BU34" i="6" l="1"/>
  <c r="AX34" i="6" s="1"/>
  <c r="BU31" i="6"/>
  <c r="AW31" i="6" s="1"/>
  <c r="BU23" i="6"/>
  <c r="BC23" i="6" s="1"/>
  <c r="BU18" i="6"/>
  <c r="AY18" i="6" s="1"/>
  <c r="BU16" i="6"/>
  <c r="AQ16" i="6" s="1"/>
  <c r="BU10" i="6"/>
  <c r="AZ10" i="6" s="1"/>
  <c r="BU6" i="6"/>
  <c r="AL6" i="6" s="1"/>
  <c r="BU19" i="6"/>
  <c r="AX19" i="6" s="1"/>
  <c r="BU25" i="6"/>
  <c r="BF25" i="6" s="1"/>
  <c r="BU11" i="6"/>
  <c r="AT11" i="6" s="1"/>
  <c r="BU33" i="6"/>
  <c r="BU22" i="6"/>
  <c r="BF22" i="6" s="1"/>
  <c r="BU14" i="6"/>
  <c r="AY14" i="6" s="1"/>
  <c r="BU7" i="6"/>
  <c r="AY7" i="6" s="1"/>
  <c r="BU15" i="6"/>
  <c r="AU15" i="6" s="1"/>
  <c r="BB34" i="6"/>
  <c r="AP34" i="6"/>
  <c r="AS34" i="6"/>
  <c r="BH34" i="6"/>
  <c r="AN34" i="6"/>
  <c r="AY34" i="6"/>
  <c r="BA31" i="6"/>
  <c r="AV31" i="6"/>
  <c r="AM31" i="6"/>
  <c r="BE23" i="6"/>
  <c r="BD23" i="6"/>
  <c r="BC10" i="6"/>
  <c r="AL10" i="6"/>
  <c r="AY25" i="6"/>
  <c r="AS25" i="6"/>
  <c r="AM25" i="6"/>
  <c r="AO25" i="6"/>
  <c r="AV25" i="6"/>
  <c r="AL25" i="6"/>
  <c r="AV33" i="6"/>
  <c r="AV14" i="6"/>
  <c r="AK7" i="6"/>
  <c r="AL15" i="6"/>
  <c r="AN15" i="6"/>
  <c r="BU27" i="6"/>
  <c r="AR16" i="6"/>
  <c r="BU21" i="6"/>
  <c r="BU5" i="6"/>
  <c r="BU32" i="6"/>
  <c r="BU30" i="6"/>
  <c r="BU26" i="6"/>
  <c r="BU24" i="6"/>
  <c r="BU12" i="6"/>
  <c r="BE16" i="6"/>
  <c r="AW16" i="6"/>
  <c r="BD16" i="6"/>
  <c r="BG16" i="6"/>
  <c r="AY16" i="6"/>
  <c r="BB16" i="6"/>
  <c r="AM16" i="6"/>
  <c r="BU13" i="6"/>
  <c r="BU8" i="6"/>
  <c r="BU4" i="6"/>
  <c r="BU35" i="6"/>
  <c r="BU28" i="6"/>
  <c r="BU29" i="6"/>
  <c r="BU20" i="6"/>
  <c r="AV16" i="6"/>
  <c r="BU17" i="6"/>
  <c r="AP16" i="6"/>
  <c r="BU9" i="6"/>
  <c r="BF15" i="6" l="1"/>
  <c r="AL23" i="6"/>
  <c r="BA23" i="6"/>
  <c r="BH23" i="6"/>
  <c r="BG23" i="6"/>
  <c r="AN19" i="6"/>
  <c r="AY22" i="6"/>
  <c r="AT10" i="6"/>
  <c r="AS19" i="6"/>
  <c r="AX31" i="6"/>
  <c r="AO31" i="6"/>
  <c r="AV22" i="6"/>
  <c r="BB19" i="6"/>
  <c r="AK22" i="6"/>
  <c r="BG10" i="6"/>
  <c r="BG31" i="6"/>
  <c r="BE14" i="6"/>
  <c r="AU25" i="6"/>
  <c r="AW25" i="6"/>
  <c r="BE25" i="6"/>
  <c r="BF10" i="6"/>
  <c r="AQ31" i="6"/>
  <c r="AZ31" i="6"/>
  <c r="BE31" i="6"/>
  <c r="AR34" i="6"/>
  <c r="AW34" i="6"/>
  <c r="BF34" i="6"/>
  <c r="AU7" i="6"/>
  <c r="AX14" i="6"/>
  <c r="AR25" i="6"/>
  <c r="BC25" i="6"/>
  <c r="AX25" i="6"/>
  <c r="AK10" i="6"/>
  <c r="AT31" i="6"/>
  <c r="BC31" i="6"/>
  <c r="AK31" i="6"/>
  <c r="AQ34" i="6"/>
  <c r="BD34" i="6"/>
  <c r="AL34" i="6"/>
  <c r="AZ14" i="6"/>
  <c r="BC14" i="6"/>
  <c r="BA22" i="6"/>
  <c r="AP25" i="6"/>
  <c r="AT25" i="6"/>
  <c r="BA25" i="6"/>
  <c r="BH25" i="6"/>
  <c r="BD25" i="6"/>
  <c r="BB25" i="6"/>
  <c r="BC6" i="6"/>
  <c r="AP31" i="6"/>
  <c r="BB31" i="6"/>
  <c r="AU31" i="6"/>
  <c r="AN31" i="6"/>
  <c r="BD31" i="6"/>
  <c r="AS31" i="6"/>
  <c r="AM34" i="6"/>
  <c r="BC34" i="6"/>
  <c r="AV34" i="6"/>
  <c r="AK34" i="6"/>
  <c r="BA34" i="6"/>
  <c r="AT34" i="6"/>
  <c r="AO14" i="6"/>
  <c r="AR22" i="6"/>
  <c r="AT22" i="6"/>
  <c r="BD11" i="6"/>
  <c r="AQ25" i="6"/>
  <c r="AK25" i="6"/>
  <c r="BG25" i="6"/>
  <c r="AN25" i="6"/>
  <c r="AZ25" i="6"/>
  <c r="AL31" i="6"/>
  <c r="BF31" i="6"/>
  <c r="AY31" i="6"/>
  <c r="AR31" i="6"/>
  <c r="BH31" i="6"/>
  <c r="AU34" i="6"/>
  <c r="BG34" i="6"/>
  <c r="AZ34" i="6"/>
  <c r="AO34" i="6"/>
  <c r="BE34" i="6"/>
  <c r="AX16" i="6"/>
  <c r="BC16" i="6"/>
  <c r="BH16" i="6"/>
  <c r="AN16" i="6"/>
  <c r="AL16" i="6"/>
  <c r="AO16" i="6"/>
  <c r="AN22" i="6"/>
  <c r="AZ22" i="6"/>
  <c r="AO22" i="6"/>
  <c r="BE22" i="6"/>
  <c r="AX22" i="6"/>
  <c r="BC22" i="6"/>
  <c r="BD19" i="6"/>
  <c r="AQ23" i="6"/>
  <c r="AR23" i="6"/>
  <c r="AN23" i="6"/>
  <c r="AO23" i="6"/>
  <c r="AK23" i="6"/>
  <c r="BF23" i="6"/>
  <c r="BD22" i="6"/>
  <c r="AS22" i="6"/>
  <c r="AL22" i="6"/>
  <c r="BB22" i="6"/>
  <c r="BG22" i="6"/>
  <c r="AM23" i="6"/>
  <c r="AW23" i="6"/>
  <c r="AS23" i="6"/>
  <c r="AT23" i="6"/>
  <c r="AP23" i="6"/>
  <c r="AY23" i="6"/>
  <c r="AU22" i="6"/>
  <c r="AS16" i="6"/>
  <c r="AT16" i="6"/>
  <c r="BF16" i="6"/>
  <c r="AZ16" i="6"/>
  <c r="BA16" i="6"/>
  <c r="AK16" i="6"/>
  <c r="AU16" i="6"/>
  <c r="AM22" i="6"/>
  <c r="AQ22" i="6"/>
  <c r="BH22" i="6"/>
  <c r="AW22" i="6"/>
  <c r="AP22" i="6"/>
  <c r="AM19" i="6"/>
  <c r="AL19" i="6"/>
  <c r="AU23" i="6"/>
  <c r="BB23" i="6"/>
  <c r="AX23" i="6"/>
  <c r="AZ23" i="6"/>
  <c r="AV23" i="6"/>
  <c r="AN7" i="6"/>
  <c r="AS7" i="6"/>
  <c r="AY11" i="6"/>
  <c r="AR18" i="6"/>
  <c r="AY19" i="6"/>
  <c r="AR19" i="6"/>
  <c r="BH19" i="6"/>
  <c r="AW19" i="6"/>
  <c r="AP19" i="6"/>
  <c r="BF19" i="6"/>
  <c r="AW7" i="6"/>
  <c r="BB7" i="6"/>
  <c r="AM11" i="6"/>
  <c r="BA11" i="6"/>
  <c r="AU19" i="6"/>
  <c r="BC19" i="6"/>
  <c r="AV19" i="6"/>
  <c r="AK19" i="6"/>
  <c r="BA19" i="6"/>
  <c r="AT19" i="6"/>
  <c r="AT7" i="6"/>
  <c r="BE7" i="6"/>
  <c r="BF7" i="6"/>
  <c r="AU11" i="6"/>
  <c r="BE11" i="6"/>
  <c r="AQ19" i="6"/>
  <c r="BG19" i="6"/>
  <c r="AZ19" i="6"/>
  <c r="AO19" i="6"/>
  <c r="BE19" i="6"/>
  <c r="AX15" i="6"/>
  <c r="BB15" i="6"/>
  <c r="BE15" i="6"/>
  <c r="AO15" i="6"/>
  <c r="AZ15" i="6"/>
  <c r="BG15" i="6"/>
  <c r="AM15" i="6"/>
  <c r="AW15" i="6"/>
  <c r="BH15" i="6"/>
  <c r="AR15" i="6"/>
  <c r="AT15" i="6"/>
  <c r="BA15" i="6"/>
  <c r="AK15" i="6"/>
  <c r="AV15" i="6"/>
  <c r="BC15" i="6"/>
  <c r="AQ15" i="6"/>
  <c r="AP15" i="6"/>
  <c r="AY15" i="6"/>
  <c r="BG33" i="6"/>
  <c r="BB33" i="6"/>
  <c r="AL33" i="6"/>
  <c r="AS33" i="6"/>
  <c r="BD33" i="6"/>
  <c r="AQ33" i="6"/>
  <c r="BC33" i="6"/>
  <c r="AX33" i="6"/>
  <c r="BE33" i="6"/>
  <c r="AO33" i="6"/>
  <c r="AZ33" i="6"/>
  <c r="AR33" i="6"/>
  <c r="AY33" i="6"/>
  <c r="BA33" i="6"/>
  <c r="AM33" i="6"/>
  <c r="AT33" i="6"/>
  <c r="AK33" i="6"/>
  <c r="BF33" i="6"/>
  <c r="AW33" i="6"/>
  <c r="AN33" i="6"/>
  <c r="AU33" i="6"/>
  <c r="BD15" i="6"/>
  <c r="BH33" i="6"/>
  <c r="AY6" i="6"/>
  <c r="BA6" i="6"/>
  <c r="AX6" i="6"/>
  <c r="AO6" i="6"/>
  <c r="AM6" i="6"/>
  <c r="AU6" i="6"/>
  <c r="BH6" i="6"/>
  <c r="AS6" i="6"/>
  <c r="AP6" i="6"/>
  <c r="BB6" i="6"/>
  <c r="AN6" i="6"/>
  <c r="AV6" i="6"/>
  <c r="BD6" i="6"/>
  <c r="BE6" i="6"/>
  <c r="AQ6" i="6"/>
  <c r="AK6" i="6"/>
  <c r="AZ6" i="6"/>
  <c r="AW6" i="6"/>
  <c r="AR6" i="6"/>
  <c r="BG6" i="6"/>
  <c r="AT6" i="6"/>
  <c r="AS15" i="6"/>
  <c r="AP33" i="6"/>
  <c r="BF6" i="6"/>
  <c r="AP7" i="6"/>
  <c r="AV7" i="6"/>
  <c r="AR7" i="6"/>
  <c r="BH11" i="6"/>
  <c r="AK11" i="6"/>
  <c r="AM10" i="6"/>
  <c r="AW10" i="6"/>
  <c r="AX7" i="6"/>
  <c r="BA7" i="6"/>
  <c r="AZ7" i="6"/>
  <c r="AO7" i="6"/>
  <c r="AQ7" i="6"/>
  <c r="AM7" i="6"/>
  <c r="BG7" i="6"/>
  <c r="BF11" i="6"/>
  <c r="AP11" i="6"/>
  <c r="AW11" i="6"/>
  <c r="BG11" i="6"/>
  <c r="AN11" i="6"/>
  <c r="AR11" i="6"/>
  <c r="BB11" i="6"/>
  <c r="AL11" i="6"/>
  <c r="AS11" i="6"/>
  <c r="BC11" i="6"/>
  <c r="AZ11" i="6"/>
  <c r="AQ11" i="6"/>
  <c r="AY10" i="6"/>
  <c r="BA10" i="6"/>
  <c r="AX10" i="6"/>
  <c r="AO10" i="6"/>
  <c r="AU10" i="6"/>
  <c r="AV10" i="6"/>
  <c r="BH10" i="6"/>
  <c r="AS10" i="6"/>
  <c r="AP10" i="6"/>
  <c r="BB10" i="6"/>
  <c r="AN10" i="6"/>
  <c r="AQ10" i="6"/>
  <c r="AL7" i="6"/>
  <c r="BD7" i="6"/>
  <c r="BH7" i="6"/>
  <c r="BC7" i="6"/>
  <c r="AV11" i="6"/>
  <c r="AO11" i="6"/>
  <c r="AX11" i="6"/>
  <c r="AR10" i="6"/>
  <c r="BE10" i="6"/>
  <c r="BD10" i="6"/>
  <c r="BF18" i="6"/>
  <c r="AP18" i="6"/>
  <c r="AW18" i="6"/>
  <c r="BH18" i="6"/>
  <c r="AM18" i="6"/>
  <c r="AN18" i="6"/>
  <c r="BG18" i="6"/>
  <c r="BB18" i="6"/>
  <c r="AL18" i="6"/>
  <c r="AS18" i="6"/>
  <c r="BD18" i="6"/>
  <c r="AV18" i="6"/>
  <c r="BC18" i="6"/>
  <c r="AX18" i="6"/>
  <c r="BE18" i="6"/>
  <c r="AO18" i="6"/>
  <c r="AZ18" i="6"/>
  <c r="AQ18" i="6"/>
  <c r="AM14" i="6"/>
  <c r="BD14" i="6"/>
  <c r="AS14" i="6"/>
  <c r="AL14" i="6"/>
  <c r="BB14" i="6"/>
  <c r="BG14" i="6"/>
  <c r="AK18" i="6"/>
  <c r="AU14" i="6"/>
  <c r="BH14" i="6"/>
  <c r="BF14" i="6"/>
  <c r="BA18" i="6"/>
  <c r="AR14" i="6"/>
  <c r="AW14" i="6"/>
  <c r="AP14" i="6"/>
  <c r="AQ14" i="6"/>
  <c r="AN14" i="6"/>
  <c r="AK14" i="6"/>
  <c r="BA14" i="6"/>
  <c r="AT14" i="6"/>
  <c r="AU18" i="6"/>
  <c r="AT18" i="6"/>
  <c r="BH17" i="6"/>
  <c r="BD17" i="6"/>
  <c r="AZ17" i="6"/>
  <c r="BG17" i="6"/>
  <c r="BC17" i="6"/>
  <c r="AY17" i="6"/>
  <c r="BF17" i="6"/>
  <c r="BB17" i="6"/>
  <c r="AX17" i="6"/>
  <c r="AT17" i="6"/>
  <c r="AP17" i="6"/>
  <c r="AL17" i="6"/>
  <c r="BE17" i="6"/>
  <c r="BA17" i="6"/>
  <c r="AW17" i="6"/>
  <c r="AM17" i="6"/>
  <c r="AR17" i="6"/>
  <c r="AK17" i="6"/>
  <c r="AQ17" i="6"/>
  <c r="AV17" i="6"/>
  <c r="AO17" i="6"/>
  <c r="AU17" i="6"/>
  <c r="AS17" i="6"/>
  <c r="AN17" i="6"/>
  <c r="BF28" i="6"/>
  <c r="BB28" i="6"/>
  <c r="AX28" i="6"/>
  <c r="AT28" i="6"/>
  <c r="AP28" i="6"/>
  <c r="AL28" i="6"/>
  <c r="BG28" i="6"/>
  <c r="BC28" i="6"/>
  <c r="AY28" i="6"/>
  <c r="BH28" i="6"/>
  <c r="AZ28" i="6"/>
  <c r="AR28" i="6"/>
  <c r="BE28" i="6"/>
  <c r="AW28" i="6"/>
  <c r="AO28" i="6"/>
  <c r="BD28" i="6"/>
  <c r="AV28" i="6"/>
  <c r="AN28" i="6"/>
  <c r="BA28" i="6"/>
  <c r="AS28" i="6"/>
  <c r="AK28" i="6"/>
  <c r="AM28" i="6"/>
  <c r="AQ28" i="6"/>
  <c r="AU28" i="6"/>
  <c r="BE8" i="6"/>
  <c r="BA8" i="6"/>
  <c r="AW8" i="6"/>
  <c r="BF8" i="6"/>
  <c r="BB8" i="6"/>
  <c r="AX8" i="6"/>
  <c r="BC8" i="6"/>
  <c r="BH8" i="6"/>
  <c r="AZ8" i="6"/>
  <c r="BG8" i="6"/>
  <c r="AY8" i="6"/>
  <c r="BD8" i="6"/>
  <c r="AK8" i="6"/>
  <c r="AT8" i="6"/>
  <c r="AU8" i="6"/>
  <c r="AP8" i="6"/>
  <c r="AN8" i="6"/>
  <c r="AQ8" i="6"/>
  <c r="AS8" i="6"/>
  <c r="AL8" i="6"/>
  <c r="AV8" i="6"/>
  <c r="AR8" i="6"/>
  <c r="AO8" i="6"/>
  <c r="AM8" i="6"/>
  <c r="BG27" i="6"/>
  <c r="BC27" i="6"/>
  <c r="AY27" i="6"/>
  <c r="BH27" i="6"/>
  <c r="BD27" i="6"/>
  <c r="AZ27" i="6"/>
  <c r="BF27" i="6"/>
  <c r="AX27" i="6"/>
  <c r="BE27" i="6"/>
  <c r="AW27" i="6"/>
  <c r="AO27" i="6"/>
  <c r="BB27" i="6"/>
  <c r="BA27" i="6"/>
  <c r="AR27" i="6"/>
  <c r="AP27" i="6"/>
  <c r="AK27" i="6"/>
  <c r="AU27" i="6"/>
  <c r="AN27" i="6"/>
  <c r="AS27" i="6"/>
  <c r="AQ27" i="6"/>
  <c r="AL27" i="6"/>
  <c r="AM27" i="6"/>
  <c r="AV27" i="6"/>
  <c r="AT27" i="6"/>
  <c r="BH32" i="6"/>
  <c r="BD32" i="6"/>
  <c r="AZ32" i="6"/>
  <c r="BG32" i="6"/>
  <c r="BC32" i="6"/>
  <c r="AY32" i="6"/>
  <c r="BF32" i="6"/>
  <c r="BB32" i="6"/>
  <c r="AX32" i="6"/>
  <c r="BE32" i="6"/>
  <c r="BA32" i="6"/>
  <c r="AW32" i="6"/>
  <c r="AO32" i="6"/>
  <c r="AP32" i="6"/>
  <c r="AM32" i="6"/>
  <c r="AR32" i="6"/>
  <c r="AS32" i="6"/>
  <c r="AT32" i="6"/>
  <c r="AQ32" i="6"/>
  <c r="AV32" i="6"/>
  <c r="AU32" i="6"/>
  <c r="AK32" i="6"/>
  <c r="AL32" i="6"/>
  <c r="AN32" i="6"/>
  <c r="BE35" i="6"/>
  <c r="BA35" i="6"/>
  <c r="AW35" i="6"/>
  <c r="BH35" i="6"/>
  <c r="BD35" i="6"/>
  <c r="AZ35" i="6"/>
  <c r="AV35" i="6"/>
  <c r="AR35" i="6"/>
  <c r="AN35" i="6"/>
  <c r="BG35" i="6"/>
  <c r="BC35" i="6"/>
  <c r="AY35" i="6"/>
  <c r="BF35" i="6"/>
  <c r="BB35" i="6"/>
  <c r="AX35" i="6"/>
  <c r="AL35" i="6"/>
  <c r="AP35" i="6"/>
  <c r="AM35" i="6"/>
  <c r="AK35" i="6"/>
  <c r="AT35" i="6"/>
  <c r="AQ35" i="6"/>
  <c r="AO35" i="6"/>
  <c r="AU35" i="6"/>
  <c r="AS35" i="6"/>
  <c r="BE26" i="6"/>
  <c r="BA26" i="6"/>
  <c r="AW26" i="6"/>
  <c r="BF26" i="6"/>
  <c r="AZ26" i="6"/>
  <c r="BD26" i="6"/>
  <c r="AY26" i="6"/>
  <c r="AT26" i="6"/>
  <c r="AN26" i="6"/>
  <c r="BH26" i="6"/>
  <c r="BC26" i="6"/>
  <c r="AX26" i="6"/>
  <c r="BG26" i="6"/>
  <c r="BB26" i="6"/>
  <c r="AO26" i="6"/>
  <c r="AP26" i="6"/>
  <c r="AL26" i="6"/>
  <c r="AK26" i="6"/>
  <c r="AU26" i="6"/>
  <c r="AQ26" i="6"/>
  <c r="AM26" i="6"/>
  <c r="AV26" i="6"/>
  <c r="AS26" i="6"/>
  <c r="AR26" i="6"/>
  <c r="BH13" i="6"/>
  <c r="BD13" i="6"/>
  <c r="AZ13" i="6"/>
  <c r="BG13" i="6"/>
  <c r="BC13" i="6"/>
  <c r="AY13" i="6"/>
  <c r="BF13" i="6"/>
  <c r="BB13" i="6"/>
  <c r="AX13" i="6"/>
  <c r="AT13" i="6"/>
  <c r="AP13" i="6"/>
  <c r="AL13" i="6"/>
  <c r="BE13" i="6"/>
  <c r="BA13" i="6"/>
  <c r="AW13" i="6"/>
  <c r="AS13" i="6"/>
  <c r="AM13" i="6"/>
  <c r="AN13" i="6"/>
  <c r="AQ13" i="6"/>
  <c r="AR13" i="6"/>
  <c r="AK13" i="6"/>
  <c r="AU13" i="6"/>
  <c r="AV13" i="6"/>
  <c r="AO13" i="6"/>
  <c r="BE12" i="6"/>
  <c r="BA12" i="6"/>
  <c r="AW12" i="6"/>
  <c r="BH12" i="6"/>
  <c r="BD12" i="6"/>
  <c r="AZ12" i="6"/>
  <c r="BG12" i="6"/>
  <c r="BC12" i="6"/>
  <c r="AY12" i="6"/>
  <c r="BF12" i="6"/>
  <c r="BB12" i="6"/>
  <c r="AX12" i="6"/>
  <c r="AL12" i="6"/>
  <c r="AQ12" i="6"/>
  <c r="AV12" i="6"/>
  <c r="AO12" i="6"/>
  <c r="AP12" i="6"/>
  <c r="AU12" i="6"/>
  <c r="AS12" i="6"/>
  <c r="AT12" i="6"/>
  <c r="AN12" i="6"/>
  <c r="AM12" i="6"/>
  <c r="AR12" i="6"/>
  <c r="AK12" i="6"/>
  <c r="BG30" i="6"/>
  <c r="BC30" i="6"/>
  <c r="AY30" i="6"/>
  <c r="BE30" i="6"/>
  <c r="BA30" i="6"/>
  <c r="AW30" i="6"/>
  <c r="BH30" i="6"/>
  <c r="BD30" i="6"/>
  <c r="AZ30" i="6"/>
  <c r="BF30" i="6"/>
  <c r="BB30" i="6"/>
  <c r="AX30" i="6"/>
  <c r="AO30" i="6"/>
  <c r="AL30" i="6"/>
  <c r="AU30" i="6"/>
  <c r="AK30" i="6"/>
  <c r="AV30" i="6"/>
  <c r="AQ30" i="6"/>
  <c r="AR30" i="6"/>
  <c r="AP30" i="6"/>
  <c r="AT30" i="6"/>
  <c r="AM30" i="6"/>
  <c r="AS30" i="6"/>
  <c r="AN30" i="6"/>
  <c r="BH5" i="6"/>
  <c r="BD5" i="6"/>
  <c r="AZ5" i="6"/>
  <c r="BE5" i="6"/>
  <c r="BA5" i="6"/>
  <c r="AW5" i="6"/>
  <c r="BF5" i="6"/>
  <c r="AX5" i="6"/>
  <c r="AP5" i="6"/>
  <c r="BC5" i="6"/>
  <c r="BB5" i="6"/>
  <c r="BG5" i="6"/>
  <c r="AY5" i="6"/>
  <c r="AQ5" i="6"/>
  <c r="AN5" i="6"/>
  <c r="AS5" i="6"/>
  <c r="AU5" i="6"/>
  <c r="AO5" i="6"/>
  <c r="AL5" i="6"/>
  <c r="AV5" i="6"/>
  <c r="AK5" i="6"/>
  <c r="AT5" i="6"/>
  <c r="AR5" i="6"/>
  <c r="AM5" i="6"/>
  <c r="BH9" i="6"/>
  <c r="BD9" i="6"/>
  <c r="AZ9" i="6"/>
  <c r="BE9" i="6"/>
  <c r="BA9" i="6"/>
  <c r="AW9" i="6"/>
  <c r="BF9" i="6"/>
  <c r="AX9" i="6"/>
  <c r="AP9" i="6"/>
  <c r="BC9" i="6"/>
  <c r="BB9" i="6"/>
  <c r="BG9" i="6"/>
  <c r="AY9" i="6"/>
  <c r="AL9" i="6"/>
  <c r="AR9" i="6"/>
  <c r="AM9" i="6"/>
  <c r="AT9" i="6"/>
  <c r="AN9" i="6"/>
  <c r="AS9" i="6"/>
  <c r="AU9" i="6"/>
  <c r="AQ9" i="6"/>
  <c r="AO9" i="6"/>
  <c r="AV9" i="6"/>
  <c r="AK9" i="6"/>
  <c r="BE20" i="6"/>
  <c r="BA20" i="6"/>
  <c r="AW20" i="6"/>
  <c r="BH20" i="6"/>
  <c r="BD20" i="6"/>
  <c r="AZ20" i="6"/>
  <c r="BG20" i="6"/>
  <c r="BC20" i="6"/>
  <c r="AY20" i="6"/>
  <c r="BF20" i="6"/>
  <c r="BB20" i="6"/>
  <c r="AX20" i="6"/>
  <c r="AT20" i="6"/>
  <c r="AQ20" i="6"/>
  <c r="AV20" i="6"/>
  <c r="AU20" i="6"/>
  <c r="AK20" i="6"/>
  <c r="AL20" i="6"/>
  <c r="AN20" i="6"/>
  <c r="AO20" i="6"/>
  <c r="AP20" i="6"/>
  <c r="AM20" i="6"/>
  <c r="AR20" i="6"/>
  <c r="AS20" i="6"/>
  <c r="BE29" i="6"/>
  <c r="BA29" i="6"/>
  <c r="AW29" i="6"/>
  <c r="BF29" i="6"/>
  <c r="BB29" i="6"/>
  <c r="AX29" i="6"/>
  <c r="BC29" i="6"/>
  <c r="BH29" i="6"/>
  <c r="AZ29" i="6"/>
  <c r="AR29" i="6"/>
  <c r="BG29" i="6"/>
  <c r="AY29" i="6"/>
  <c r="AQ29" i="6"/>
  <c r="BD29" i="6"/>
  <c r="AN29" i="6"/>
  <c r="AP29" i="6"/>
  <c r="AV29" i="6"/>
  <c r="AS29" i="6"/>
  <c r="AL29" i="6"/>
  <c r="AO29" i="6"/>
  <c r="AM29" i="6"/>
  <c r="AK29" i="6"/>
  <c r="AT29" i="6"/>
  <c r="AU29" i="6"/>
  <c r="BE4" i="6"/>
  <c r="BA4" i="6"/>
  <c r="AW4" i="6"/>
  <c r="BF4" i="6"/>
  <c r="BB4" i="6"/>
  <c r="AX4" i="6"/>
  <c r="BC4" i="6"/>
  <c r="BH4" i="6"/>
  <c r="AZ4" i="6"/>
  <c r="BG4" i="6"/>
  <c r="AY4" i="6"/>
  <c r="BD4" i="6"/>
  <c r="AQ4" i="6"/>
  <c r="AK4" i="6"/>
  <c r="AT4" i="6"/>
  <c r="AU4" i="6"/>
  <c r="AP4" i="6"/>
  <c r="AN4" i="6"/>
  <c r="AR4" i="6"/>
  <c r="AS4" i="6"/>
  <c r="AL4" i="6"/>
  <c r="AV4" i="6"/>
  <c r="AO4" i="6"/>
  <c r="AM4" i="6"/>
  <c r="BG24" i="6"/>
  <c r="BC24" i="6"/>
  <c r="AY24" i="6"/>
  <c r="BF24" i="6"/>
  <c r="BB24" i="6"/>
  <c r="AX24" i="6"/>
  <c r="BA24" i="6"/>
  <c r="BH24" i="6"/>
  <c r="AZ24" i="6"/>
  <c r="BE24" i="6"/>
  <c r="AW24" i="6"/>
  <c r="BD24" i="6"/>
  <c r="AK24" i="6"/>
  <c r="AP24" i="6"/>
  <c r="AO24" i="6"/>
  <c r="AQ24" i="6"/>
  <c r="AL24" i="6"/>
  <c r="AU24" i="6"/>
  <c r="AV24" i="6"/>
  <c r="AM24" i="6"/>
  <c r="AN24" i="6"/>
  <c r="AT24" i="6"/>
  <c r="AR24" i="6"/>
  <c r="AS24" i="6"/>
  <c r="BH21" i="6"/>
  <c r="BD21" i="6"/>
  <c r="AZ21" i="6"/>
  <c r="BG21" i="6"/>
  <c r="BC21" i="6"/>
  <c r="AY21" i="6"/>
  <c r="BF21" i="6"/>
  <c r="BB21" i="6"/>
  <c r="AX21" i="6"/>
  <c r="AT21" i="6"/>
  <c r="AP21" i="6"/>
  <c r="AL21" i="6"/>
  <c r="BE21" i="6"/>
  <c r="BA21" i="6"/>
  <c r="AW21" i="6"/>
  <c r="AK21" i="6"/>
  <c r="AM21" i="6"/>
  <c r="AV21" i="6"/>
  <c r="AO21" i="6"/>
  <c r="AQ21" i="6"/>
  <c r="AS21" i="6"/>
  <c r="AU21" i="6"/>
  <c r="AN21" i="6"/>
  <c r="AR21" i="6"/>
  <c r="BW31" i="6" l="1"/>
  <c r="AH31" i="6" l="1"/>
  <c r="AI31" i="6"/>
  <c r="AA31" i="6"/>
  <c r="AE31" i="6"/>
  <c r="AB31" i="6"/>
  <c r="Z31" i="6"/>
  <c r="AJ31" i="6"/>
  <c r="AC31" i="6"/>
  <c r="AG31" i="6"/>
  <c r="AF31" i="6"/>
  <c r="Y31" i="6"/>
  <c r="AD31" i="6"/>
  <c r="X31" i="6" l="1"/>
  <c r="BW27" i="6"/>
  <c r="BW16" i="6"/>
  <c r="BW12" i="6"/>
  <c r="BW8" i="6"/>
  <c r="BW4" i="6"/>
  <c r="BW26" i="6"/>
  <c r="BW22" i="6"/>
  <c r="BW29" i="6"/>
  <c r="BW25" i="6"/>
  <c r="BW21" i="6"/>
  <c r="BW18" i="6"/>
  <c r="BW14" i="6"/>
  <c r="BW10" i="6"/>
  <c r="BW6" i="6"/>
  <c r="BW28" i="6"/>
  <c r="BW20" i="6"/>
  <c r="BW17" i="6"/>
  <c r="BW13" i="6"/>
  <c r="BW9" i="6"/>
  <c r="BW5" i="6"/>
  <c r="BW35" i="6"/>
  <c r="BW23" i="6"/>
  <c r="BW19" i="6"/>
  <c r="BW34" i="6"/>
  <c r="BW15" i="6"/>
  <c r="BW11" i="6"/>
  <c r="BW7" i="6"/>
  <c r="BW33" i="6"/>
  <c r="BW32" i="6"/>
  <c r="BW24" i="6"/>
  <c r="AD35" i="6" l="1"/>
  <c r="AA35" i="6"/>
  <c r="Z35" i="6"/>
  <c r="AC35" i="6"/>
  <c r="Y35" i="6"/>
  <c r="AB35" i="6"/>
  <c r="AI35" i="6"/>
  <c r="AE35" i="6"/>
  <c r="AF35" i="6"/>
  <c r="AJ35" i="6"/>
  <c r="AG35" i="6"/>
  <c r="AH35" i="6"/>
  <c r="AB33" i="6"/>
  <c r="Y33" i="6"/>
  <c r="AH33" i="6"/>
  <c r="AG33" i="6"/>
  <c r="AJ33" i="6"/>
  <c r="AC33" i="6"/>
  <c r="AA33" i="6"/>
  <c r="AF33" i="6"/>
  <c r="Z33" i="6"/>
  <c r="AE33" i="6"/>
  <c r="AI33" i="6"/>
  <c r="AD33" i="6"/>
  <c r="AE34" i="6"/>
  <c r="AB34" i="6"/>
  <c r="AD34" i="6"/>
  <c r="AJ34" i="6"/>
  <c r="AG34" i="6"/>
  <c r="Y34" i="6"/>
  <c r="Z34" i="6"/>
  <c r="AH34" i="6"/>
  <c r="AF34" i="6"/>
  <c r="AA34" i="6"/>
  <c r="AC34" i="6"/>
  <c r="AI34" i="6"/>
  <c r="AG5" i="6"/>
  <c r="AD5" i="6"/>
  <c r="AA5" i="6"/>
  <c r="AB5" i="6"/>
  <c r="Y5" i="6"/>
  <c r="AJ5" i="6"/>
  <c r="AI5" i="6"/>
  <c r="AF5" i="6"/>
  <c r="AH5" i="6"/>
  <c r="Z5" i="6"/>
  <c r="AE5" i="6"/>
  <c r="AC5" i="6"/>
  <c r="AD20" i="6"/>
  <c r="AC20" i="6"/>
  <c r="AG20" i="6"/>
  <c r="Y20" i="6"/>
  <c r="AE20" i="6"/>
  <c r="AI20" i="6"/>
  <c r="AH20" i="6"/>
  <c r="AJ20" i="6"/>
  <c r="Z20" i="6"/>
  <c r="AF20" i="6"/>
  <c r="AB20" i="6"/>
  <c r="AA20" i="6"/>
  <c r="AD14" i="6"/>
  <c r="AC14" i="6"/>
  <c r="AI14" i="6"/>
  <c r="Y14" i="6"/>
  <c r="AE14" i="6"/>
  <c r="AF14" i="6"/>
  <c r="AH14" i="6"/>
  <c r="AG14" i="6"/>
  <c r="AJ14" i="6"/>
  <c r="Z14" i="6"/>
  <c r="AB14" i="6"/>
  <c r="AA14" i="6"/>
  <c r="AI29" i="6"/>
  <c r="Y29" i="6"/>
  <c r="AA29" i="6"/>
  <c r="AH29" i="6"/>
  <c r="AC29" i="6"/>
  <c r="AB29" i="6"/>
  <c r="AG29" i="6"/>
  <c r="Z29" i="6"/>
  <c r="AJ29" i="6"/>
  <c r="AD29" i="6"/>
  <c r="AF29" i="6"/>
  <c r="AE29" i="6"/>
  <c r="AB8" i="6"/>
  <c r="AC8" i="6"/>
  <c r="AA8" i="6"/>
  <c r="AJ8" i="6"/>
  <c r="AI8" i="6"/>
  <c r="AD8" i="6"/>
  <c r="AE8" i="6"/>
  <c r="Z8" i="6"/>
  <c r="AH8" i="6"/>
  <c r="Y8" i="6"/>
  <c r="AF8" i="6"/>
  <c r="AG8" i="6"/>
  <c r="AF32" i="6"/>
  <c r="Y32" i="6"/>
  <c r="AH32" i="6"/>
  <c r="AA32" i="6"/>
  <c r="Z32" i="6"/>
  <c r="AD32" i="6"/>
  <c r="AI32" i="6"/>
  <c r="AC32" i="6"/>
  <c r="AB32" i="6"/>
  <c r="AE32" i="6"/>
  <c r="AG32" i="6"/>
  <c r="AJ32" i="6"/>
  <c r="Y7" i="6"/>
  <c r="Z7" i="6"/>
  <c r="AF7" i="6"/>
  <c r="AI7" i="6"/>
  <c r="AB7" i="6"/>
  <c r="AH7" i="6"/>
  <c r="AJ7" i="6"/>
  <c r="AA7" i="6"/>
  <c r="AG7" i="6"/>
  <c r="AE7" i="6"/>
  <c r="AC7" i="6"/>
  <c r="AD7" i="6"/>
  <c r="AA19" i="6"/>
  <c r="AG19" i="6"/>
  <c r="Z19" i="6"/>
  <c r="Y19" i="6"/>
  <c r="AE19" i="6"/>
  <c r="AD19" i="6"/>
  <c r="AC19" i="6"/>
  <c r="AH19" i="6"/>
  <c r="AJ19" i="6"/>
  <c r="AB19" i="6"/>
  <c r="AI19" i="6"/>
  <c r="AF19" i="6"/>
  <c r="AH9" i="6"/>
  <c r="AC9" i="6"/>
  <c r="AD9" i="6"/>
  <c r="AB9" i="6"/>
  <c r="AE9" i="6"/>
  <c r="AA9" i="6"/>
  <c r="AG9" i="6"/>
  <c r="AF9" i="6"/>
  <c r="Y9" i="6"/>
  <c r="AI9" i="6"/>
  <c r="Z9" i="6"/>
  <c r="AJ9" i="6"/>
  <c r="Z28" i="6"/>
  <c r="AG28" i="6"/>
  <c r="AD28" i="6"/>
  <c r="AF28" i="6"/>
  <c r="AC28" i="6"/>
  <c r="AH28" i="6"/>
  <c r="AA28" i="6"/>
  <c r="AI28" i="6"/>
  <c r="Y28" i="6"/>
  <c r="AB28" i="6"/>
  <c r="AJ28" i="6"/>
  <c r="AE28" i="6"/>
  <c r="AH18" i="6"/>
  <c r="Z18" i="6"/>
  <c r="AA18" i="6"/>
  <c r="AC18" i="6"/>
  <c r="AB18" i="6"/>
  <c r="AD18" i="6"/>
  <c r="AG18" i="6"/>
  <c r="AF18" i="6"/>
  <c r="AJ18" i="6"/>
  <c r="AI18" i="6"/>
  <c r="Y18" i="6"/>
  <c r="AE18" i="6"/>
  <c r="AH22" i="6"/>
  <c r="AD22" i="6"/>
  <c r="AJ22" i="6"/>
  <c r="Y22" i="6"/>
  <c r="AA22" i="6"/>
  <c r="AC22" i="6"/>
  <c r="Z22" i="6"/>
  <c r="AI22" i="6"/>
  <c r="AG22" i="6"/>
  <c r="AF22" i="6"/>
  <c r="AB22" i="6"/>
  <c r="AE22" i="6"/>
  <c r="AD12" i="6"/>
  <c r="AG12" i="6"/>
  <c r="AJ12" i="6"/>
  <c r="AH12" i="6"/>
  <c r="Y12" i="6"/>
  <c r="AA12" i="6"/>
  <c r="AE12" i="6"/>
  <c r="AB12" i="6"/>
  <c r="AC12" i="6"/>
  <c r="AI12" i="6"/>
  <c r="Z12" i="6"/>
  <c r="AF12" i="6"/>
  <c r="AC24" i="6"/>
  <c r="AG24" i="6"/>
  <c r="AI24" i="6"/>
  <c r="AA24" i="6"/>
  <c r="AB24" i="6"/>
  <c r="AE24" i="6"/>
  <c r="AD24" i="6"/>
  <c r="Z24" i="6"/>
  <c r="AF24" i="6"/>
  <c r="AJ24" i="6"/>
  <c r="AH24" i="6"/>
  <c r="Y24" i="6"/>
  <c r="AC11" i="6"/>
  <c r="AF11" i="6"/>
  <c r="AA11" i="6"/>
  <c r="AD11" i="6"/>
  <c r="AG11" i="6"/>
  <c r="AH11" i="6"/>
  <c r="AJ11" i="6"/>
  <c r="AB11" i="6"/>
  <c r="AE11" i="6"/>
  <c r="Z11" i="6"/>
  <c r="AI11" i="6"/>
  <c r="Y11" i="6"/>
  <c r="AC23" i="6"/>
  <c r="Z23" i="6"/>
  <c r="AH23" i="6"/>
  <c r="AE23" i="6"/>
  <c r="AI23" i="6"/>
  <c r="AF23" i="6"/>
  <c r="AB23" i="6"/>
  <c r="AG23" i="6"/>
  <c r="AD23" i="6"/>
  <c r="Y23" i="6"/>
  <c r="AA23" i="6"/>
  <c r="AJ23" i="6"/>
  <c r="AE13" i="6"/>
  <c r="Z13" i="6"/>
  <c r="AA13" i="6"/>
  <c r="AC13" i="6"/>
  <c r="AI13" i="6"/>
  <c r="AB13" i="6"/>
  <c r="AF13" i="6"/>
  <c r="AD13" i="6"/>
  <c r="AH13" i="6"/>
  <c r="Y13" i="6"/>
  <c r="AJ13" i="6"/>
  <c r="AG13" i="6"/>
  <c r="Z6" i="6"/>
  <c r="AF6" i="6"/>
  <c r="AA6" i="6"/>
  <c r="AG6" i="6"/>
  <c r="AH6" i="6"/>
  <c r="AJ6" i="6"/>
  <c r="AI6" i="6"/>
  <c r="AC6" i="6"/>
  <c r="AE6" i="6"/>
  <c r="AB6" i="6"/>
  <c r="AD6" i="6"/>
  <c r="Y6" i="6"/>
  <c r="AG21" i="6"/>
  <c r="AF21" i="6"/>
  <c r="Z21" i="6"/>
  <c r="AH21" i="6"/>
  <c r="AB21" i="6"/>
  <c r="AC21" i="6"/>
  <c r="AE21" i="6"/>
  <c r="AD21" i="6"/>
  <c r="AI21" i="6"/>
  <c r="Y21" i="6"/>
  <c r="AJ21" i="6"/>
  <c r="AA21" i="6"/>
  <c r="AJ26" i="6"/>
  <c r="AA26" i="6"/>
  <c r="Y26" i="6"/>
  <c r="AD26" i="6"/>
  <c r="AB26" i="6"/>
  <c r="AC26" i="6"/>
  <c r="AE26" i="6"/>
  <c r="AI26" i="6"/>
  <c r="AH26" i="6"/>
  <c r="AG26" i="6"/>
  <c r="Z26" i="6"/>
  <c r="AF26" i="6"/>
  <c r="AG16" i="6"/>
  <c r="Z16" i="6"/>
  <c r="AD16" i="6"/>
  <c r="AJ16" i="6"/>
  <c r="AA16" i="6"/>
  <c r="AI16" i="6"/>
  <c r="Y16" i="6"/>
  <c r="AF16" i="6"/>
  <c r="AC16" i="6"/>
  <c r="AE16" i="6"/>
  <c r="AB16" i="6"/>
  <c r="AH16" i="6"/>
  <c r="AJ15" i="6"/>
  <c r="AB15" i="6"/>
  <c r="Z15" i="6"/>
  <c r="AI15" i="6"/>
  <c r="AE15" i="6"/>
  <c r="AA15" i="6"/>
  <c r="AD15" i="6"/>
  <c r="AG15" i="6"/>
  <c r="Y15" i="6"/>
  <c r="AC15" i="6"/>
  <c r="AH15" i="6"/>
  <c r="AF15" i="6"/>
  <c r="AI17" i="6"/>
  <c r="Y17" i="6"/>
  <c r="AC17" i="6"/>
  <c r="AA17" i="6"/>
  <c r="AG17" i="6"/>
  <c r="AH17" i="6"/>
  <c r="AJ17" i="6"/>
  <c r="AF17" i="6"/>
  <c r="AE17" i="6"/>
  <c r="Z17" i="6"/>
  <c r="AB17" i="6"/>
  <c r="AD17" i="6"/>
  <c r="AH10" i="6"/>
  <c r="AE10" i="6"/>
  <c r="AB10" i="6"/>
  <c r="AI10" i="6"/>
  <c r="Y10" i="6"/>
  <c r="AA10" i="6"/>
  <c r="AF10" i="6"/>
  <c r="AJ10" i="6"/>
  <c r="AC10" i="6"/>
  <c r="Z10" i="6"/>
  <c r="AG10" i="6"/>
  <c r="AD10" i="6"/>
  <c r="AA25" i="6"/>
  <c r="Z25" i="6"/>
  <c r="AE25" i="6"/>
  <c r="AI25" i="6"/>
  <c r="Y25" i="6"/>
  <c r="AC25" i="6"/>
  <c r="AJ25" i="6"/>
  <c r="AG25" i="6"/>
  <c r="AF25" i="6"/>
  <c r="AH25" i="6"/>
  <c r="AD25" i="6"/>
  <c r="AB25" i="6"/>
  <c r="AA4" i="6"/>
  <c r="Y4" i="6"/>
  <c r="AI4" i="6"/>
  <c r="AG4" i="6"/>
  <c r="AC4" i="6"/>
  <c r="AB4" i="6"/>
  <c r="AD4" i="6"/>
  <c r="AJ4" i="6"/>
  <c r="Z4" i="6"/>
  <c r="AF4" i="6"/>
  <c r="AE4" i="6"/>
  <c r="AH4" i="6"/>
  <c r="AH27" i="6"/>
  <c r="AG27" i="6"/>
  <c r="Z27" i="6"/>
  <c r="AA27" i="6"/>
  <c r="AF27" i="6"/>
  <c r="AE27" i="6"/>
  <c r="AC27" i="6"/>
  <c r="AB27" i="6"/>
  <c r="Y27" i="6"/>
  <c r="AJ27" i="6"/>
  <c r="AI27" i="6"/>
  <c r="AD27" i="6"/>
  <c r="X21" i="6" l="1"/>
  <c r="X8" i="6"/>
  <c r="X27" i="6"/>
  <c r="X28" i="6"/>
  <c r="X9" i="6"/>
  <c r="X25" i="6"/>
  <c r="X15" i="6"/>
  <c r="X16" i="6"/>
  <c r="X6" i="6"/>
  <c r="X11" i="6"/>
  <c r="X24" i="6"/>
  <c r="X19" i="6"/>
  <c r="X14" i="6"/>
  <c r="X20" i="6"/>
  <c r="X34" i="6"/>
  <c r="X26" i="6"/>
  <c r="X22" i="6"/>
  <c r="X18" i="6"/>
  <c r="X4" i="6"/>
  <c r="X17" i="6"/>
  <c r="X13" i="6"/>
  <c r="X23" i="6"/>
  <c r="X32" i="6"/>
  <c r="X29" i="6"/>
  <c r="X33" i="6"/>
  <c r="X10" i="6"/>
  <c r="X12" i="6"/>
  <c r="X7" i="6"/>
  <c r="X5" i="6"/>
  <c r="X35" i="6"/>
  <c r="BW30" i="6"/>
  <c r="AE30" i="6" l="1"/>
  <c r="AE240" i="6" s="1"/>
  <c r="Y30" i="6"/>
  <c r="AD30" i="6"/>
  <c r="AD240" i="6" s="1"/>
  <c r="AA30" i="6"/>
  <c r="AA240" i="6" s="1"/>
  <c r="Z30" i="6"/>
  <c r="Z240" i="6" s="1"/>
  <c r="AH30" i="6"/>
  <c r="AH240" i="6" s="1"/>
  <c r="AB30" i="6"/>
  <c r="AB240" i="6" s="1"/>
  <c r="AI30" i="6"/>
  <c r="AI240" i="6" s="1"/>
  <c r="AG30" i="6"/>
  <c r="AG240" i="6" s="1"/>
  <c r="AC30" i="6"/>
  <c r="AC240" i="6" s="1"/>
  <c r="AJ30" i="6"/>
  <c r="AJ240" i="6" s="1"/>
  <c r="AF30" i="6"/>
  <c r="AF240" i="6" s="1"/>
  <c r="X30" i="6" l="1"/>
  <c r="X1" i="6" s="1"/>
  <c r="Y240" i="6"/>
  <c r="BW13" i="5" l="1"/>
  <c r="S13" i="5"/>
  <c r="BQ13" i="5" s="1"/>
  <c r="H13" i="5"/>
  <c r="E13" i="5"/>
  <c r="BW12" i="5"/>
  <c r="S12" i="5"/>
  <c r="BM12" i="5" s="1"/>
  <c r="H12" i="5"/>
  <c r="E12" i="5"/>
  <c r="BW11" i="5"/>
  <c r="S11" i="5"/>
  <c r="BN11" i="5" s="1"/>
  <c r="H11" i="5"/>
  <c r="E11" i="5"/>
  <c r="BW10" i="5"/>
  <c r="S10" i="5"/>
  <c r="BR10" i="5" s="1"/>
  <c r="H10" i="5"/>
  <c r="E10" i="5"/>
  <c r="BW9" i="5"/>
  <c r="S9" i="5"/>
  <c r="BR9" i="5" s="1"/>
  <c r="H9" i="5"/>
  <c r="E9" i="5"/>
  <c r="BW8" i="5"/>
  <c r="S8" i="5"/>
  <c r="BK8" i="5" s="1"/>
  <c r="H8" i="5"/>
  <c r="E8" i="5"/>
  <c r="BW7" i="5"/>
  <c r="S7" i="5"/>
  <c r="BO7" i="5" s="1"/>
  <c r="H7" i="5"/>
  <c r="E7" i="5"/>
  <c r="BW6" i="5"/>
  <c r="S6" i="5"/>
  <c r="BR6" i="5" s="1"/>
  <c r="H6" i="5"/>
  <c r="E6" i="5"/>
  <c r="BW5" i="5"/>
  <c r="S5" i="5"/>
  <c r="BR5" i="5" s="1"/>
  <c r="H5" i="5"/>
  <c r="E5" i="5"/>
  <c r="BW4" i="5"/>
  <c r="S4" i="5"/>
  <c r="BS4" i="5" s="1"/>
  <c r="H4" i="5"/>
  <c r="E4" i="5"/>
  <c r="BZ1" i="5"/>
  <c r="B1" i="5"/>
  <c r="BM4" i="5" l="1"/>
  <c r="BO9" i="5"/>
  <c r="A10" i="5"/>
  <c r="BV10" i="5" s="1"/>
  <c r="BI6" i="5"/>
  <c r="BI4" i="5"/>
  <c r="BP6" i="5"/>
  <c r="BL4" i="5"/>
  <c r="BT4" i="5"/>
  <c r="BT6" i="5"/>
  <c r="BL6" i="5"/>
  <c r="A7" i="5"/>
  <c r="W7" i="5" s="1"/>
  <c r="BM5" i="5"/>
  <c r="BO6" i="5"/>
  <c r="BO8" i="5"/>
  <c r="A11" i="5"/>
  <c r="BQ4" i="5"/>
  <c r="BK6" i="5"/>
  <c r="BQ6" i="5"/>
  <c r="A8" i="5"/>
  <c r="W8" i="5" s="1"/>
  <c r="BP7" i="5"/>
  <c r="BO12" i="5"/>
  <c r="BP5" i="5"/>
  <c r="BJ7" i="5"/>
  <c r="BT7" i="5"/>
  <c r="BQ8" i="5"/>
  <c r="BP9" i="5"/>
  <c r="BK10" i="5"/>
  <c r="BJ12" i="5"/>
  <c r="BQ12" i="5"/>
  <c r="BJ5" i="5"/>
  <c r="BQ5" i="5"/>
  <c r="BK7" i="5"/>
  <c r="BJ8" i="5"/>
  <c r="BK9" i="5"/>
  <c r="BS9" i="5"/>
  <c r="BO10" i="5"/>
  <c r="BK12" i="5"/>
  <c r="BR12" i="5"/>
  <c r="BP4" i="5"/>
  <c r="A5" i="5"/>
  <c r="W5" i="5" s="1"/>
  <c r="BL5" i="5"/>
  <c r="BM6" i="5"/>
  <c r="BS6" i="5"/>
  <c r="A9" i="5"/>
  <c r="W9" i="5" s="1"/>
  <c r="BL9" i="5"/>
  <c r="BT9" i="5"/>
  <c r="BS10" i="5"/>
  <c r="A12" i="5"/>
  <c r="W12" i="5" s="1"/>
  <c r="BM13" i="5"/>
  <c r="A6" i="5"/>
  <c r="BV7" i="5"/>
  <c r="A4" i="5"/>
  <c r="BJ4" i="5"/>
  <c r="BN4" i="5"/>
  <c r="BR4" i="5"/>
  <c r="BQ7" i="5"/>
  <c r="BM7" i="5"/>
  <c r="BI7" i="5"/>
  <c r="BL7" i="5"/>
  <c r="BR7" i="5"/>
  <c r="BT8" i="5"/>
  <c r="BP8" i="5"/>
  <c r="BL8" i="5"/>
  <c r="BM8" i="5"/>
  <c r="BR8" i="5"/>
  <c r="BK4" i="5"/>
  <c r="BO4" i="5"/>
  <c r="BS5" i="5"/>
  <c r="BO5" i="5"/>
  <c r="BK5" i="5"/>
  <c r="BI5" i="5"/>
  <c r="BN5" i="5"/>
  <c r="BT5" i="5"/>
  <c r="BN7" i="5"/>
  <c r="BS7" i="5"/>
  <c r="BI8" i="5"/>
  <c r="BN8" i="5"/>
  <c r="BS8" i="5"/>
  <c r="BJ11" i="5"/>
  <c r="BJ6" i="5"/>
  <c r="BN6" i="5"/>
  <c r="BQ11" i="5"/>
  <c r="BM11" i="5"/>
  <c r="BI11" i="5"/>
  <c r="BT11" i="5"/>
  <c r="BP11" i="5"/>
  <c r="BL11" i="5"/>
  <c r="BS11" i="5"/>
  <c r="BO11" i="5"/>
  <c r="BK11" i="5"/>
  <c r="BR11" i="5"/>
  <c r="BI9" i="5"/>
  <c r="BM9" i="5"/>
  <c r="BQ9" i="5"/>
  <c r="BL10" i="5"/>
  <c r="BP10" i="5"/>
  <c r="BT10" i="5"/>
  <c r="BT12" i="5"/>
  <c r="BP12" i="5"/>
  <c r="BL12" i="5"/>
  <c r="BI12" i="5"/>
  <c r="BN12" i="5"/>
  <c r="BS12" i="5"/>
  <c r="A13" i="5"/>
  <c r="BN13" i="5"/>
  <c r="BJ9" i="5"/>
  <c r="BN9" i="5"/>
  <c r="BI10" i="5"/>
  <c r="BM10" i="5"/>
  <c r="BQ10" i="5"/>
  <c r="BI13" i="5"/>
  <c r="BJ10" i="5"/>
  <c r="BN10" i="5"/>
  <c r="BT13" i="5"/>
  <c r="BP13" i="5"/>
  <c r="BL13" i="5"/>
  <c r="BS13" i="5"/>
  <c r="BO13" i="5"/>
  <c r="BK13" i="5"/>
  <c r="BJ13" i="5"/>
  <c r="BR13" i="5"/>
  <c r="W10" i="5" l="1"/>
  <c r="BV12" i="5"/>
  <c r="BV9" i="5"/>
  <c r="BV8" i="5"/>
  <c r="BV5" i="5"/>
  <c r="W11" i="5"/>
  <c r="BV11" i="5"/>
  <c r="BU6" i="5"/>
  <c r="AP6" i="5" s="1"/>
  <c r="BU4" i="5"/>
  <c r="BH4" i="5" s="1"/>
  <c r="BU8" i="5"/>
  <c r="AZ8" i="5" s="1"/>
  <c r="AV4" i="5"/>
  <c r="BC4" i="5"/>
  <c r="AX4" i="5"/>
  <c r="AS4" i="5"/>
  <c r="AP4" i="5"/>
  <c r="AQ4" i="5"/>
  <c r="AL8" i="5"/>
  <c r="BU12" i="5"/>
  <c r="BU11" i="5"/>
  <c r="AS8" i="5"/>
  <c r="BU5" i="5"/>
  <c r="BV6" i="5"/>
  <c r="W6" i="5"/>
  <c r="BU9" i="5"/>
  <c r="BU13" i="5"/>
  <c r="W4" i="5"/>
  <c r="BV4" i="5"/>
  <c r="BF6" i="5"/>
  <c r="BB6" i="5"/>
  <c r="AX6" i="5"/>
  <c r="BD6" i="5"/>
  <c r="AY6" i="5"/>
  <c r="AS6" i="5"/>
  <c r="AN6" i="5"/>
  <c r="BH6" i="5"/>
  <c r="BC6" i="5"/>
  <c r="AW6" i="5"/>
  <c r="AR6" i="5"/>
  <c r="AM6" i="5"/>
  <c r="BG6" i="5"/>
  <c r="BA6" i="5"/>
  <c r="AV6" i="5"/>
  <c r="AQ6" i="5"/>
  <c r="AK6" i="5"/>
  <c r="AU6" i="5"/>
  <c r="AO6" i="5"/>
  <c r="BE6" i="5"/>
  <c r="AZ6" i="5"/>
  <c r="W13" i="5"/>
  <c r="BV13" i="5"/>
  <c r="BU10" i="5"/>
  <c r="AL6" i="5"/>
  <c r="AQ8" i="5"/>
  <c r="BU7" i="5"/>
  <c r="AT6" i="5" l="1"/>
  <c r="BG8" i="5"/>
  <c r="BD8" i="5"/>
  <c r="AV8" i="5"/>
  <c r="AN8" i="5"/>
  <c r="AK8" i="5"/>
  <c r="AT8" i="5"/>
  <c r="AH8" i="5" s="1"/>
  <c r="AM8" i="5"/>
  <c r="AA8" i="5" s="1"/>
  <c r="BF8" i="5"/>
  <c r="AY8" i="5"/>
  <c r="AT4" i="5"/>
  <c r="AW4" i="5"/>
  <c r="BG4" i="5"/>
  <c r="Z8" i="5"/>
  <c r="AR8" i="5"/>
  <c r="AP8" i="5"/>
  <c r="AX8" i="5"/>
  <c r="BH8" i="5"/>
  <c r="AL4" i="5"/>
  <c r="BB4" i="5"/>
  <c r="AZ4" i="5"/>
  <c r="AU8" i="5"/>
  <c r="AW8" i="5"/>
  <c r="BC8" i="5"/>
  <c r="AE8" i="5" s="1"/>
  <c r="BE8" i="5"/>
  <c r="AU4" i="5"/>
  <c r="AO4" i="5"/>
  <c r="AK4" i="5"/>
  <c r="BF4" i="5"/>
  <c r="AN4" i="5"/>
  <c r="BD4" i="5"/>
  <c r="BA8" i="5"/>
  <c r="BB8" i="5"/>
  <c r="AO8" i="5"/>
  <c r="AM4" i="5"/>
  <c r="BE4" i="5"/>
  <c r="BA4" i="5"/>
  <c r="AY4" i="5"/>
  <c r="AR4" i="5"/>
  <c r="AF8" i="5"/>
  <c r="Z6" i="5"/>
  <c r="AB8" i="5"/>
  <c r="AD6" i="5"/>
  <c r="AI6" i="5"/>
  <c r="AG6" i="5"/>
  <c r="AI8" i="5"/>
  <c r="AJ6" i="5"/>
  <c r="AF6" i="5"/>
  <c r="AB6" i="5"/>
  <c r="AH4" i="5"/>
  <c r="Z4" i="5"/>
  <c r="BH13" i="5"/>
  <c r="BD13" i="5"/>
  <c r="AZ13" i="5"/>
  <c r="BG13" i="5"/>
  <c r="BC13" i="5"/>
  <c r="AY13" i="5"/>
  <c r="BB13" i="5"/>
  <c r="BA13" i="5"/>
  <c r="BF13" i="5"/>
  <c r="AX13" i="5"/>
  <c r="AW13" i="5"/>
  <c r="AO13" i="5"/>
  <c r="AC13" i="5" s="1"/>
  <c r="BE13" i="5"/>
  <c r="AS13" i="5"/>
  <c r="AN13" i="5"/>
  <c r="AB13" i="5" s="1"/>
  <c r="AU13" i="5"/>
  <c r="AI13" i="5" s="1"/>
  <c r="AT13" i="5"/>
  <c r="AH13" i="5" s="1"/>
  <c r="AK13" i="5"/>
  <c r="AL13" i="5"/>
  <c r="AQ13" i="5"/>
  <c r="AR13" i="5"/>
  <c r="AP13" i="5"/>
  <c r="AV13" i="5"/>
  <c r="AJ13" i="5" s="1"/>
  <c r="AM13" i="5"/>
  <c r="AC8" i="5"/>
  <c r="Y6" i="5"/>
  <c r="BG5" i="5"/>
  <c r="BC5" i="5"/>
  <c r="AY5" i="5"/>
  <c r="BE5" i="5"/>
  <c r="AZ5" i="5"/>
  <c r="AT5" i="5"/>
  <c r="AO5" i="5"/>
  <c r="BD5" i="5"/>
  <c r="AX5" i="5"/>
  <c r="BH5" i="5"/>
  <c r="BB5" i="5"/>
  <c r="AW5" i="5"/>
  <c r="AR5" i="5"/>
  <c r="AL5" i="5"/>
  <c r="BF5" i="5"/>
  <c r="AK5" i="5"/>
  <c r="Y5" i="5" s="1"/>
  <c r="BA5" i="5"/>
  <c r="AV5" i="5"/>
  <c r="AJ5" i="5" s="1"/>
  <c r="AP5" i="5"/>
  <c r="AD5" i="5" s="1"/>
  <c r="AN5" i="5"/>
  <c r="AM5" i="5"/>
  <c r="AU5" i="5"/>
  <c r="AS5" i="5"/>
  <c r="AQ5" i="5"/>
  <c r="Y8" i="5"/>
  <c r="AI4" i="5"/>
  <c r="AC4" i="5"/>
  <c r="Y4" i="5"/>
  <c r="AB4" i="5"/>
  <c r="BF10" i="5"/>
  <c r="BB10" i="5"/>
  <c r="AX10" i="5"/>
  <c r="BE10" i="5"/>
  <c r="BA10" i="5"/>
  <c r="AW10" i="5"/>
  <c r="BH10" i="5"/>
  <c r="BD10" i="5"/>
  <c r="AZ10" i="5"/>
  <c r="BC10" i="5"/>
  <c r="AM10" i="5"/>
  <c r="AY10" i="5"/>
  <c r="AU10" i="5"/>
  <c r="BG10" i="5"/>
  <c r="AQ10" i="5"/>
  <c r="AV10" i="5"/>
  <c r="AT10" i="5"/>
  <c r="AH10" i="5" s="1"/>
  <c r="AK10" i="5"/>
  <c r="Y10" i="5" s="1"/>
  <c r="AR10" i="5"/>
  <c r="AS10" i="5"/>
  <c r="AG10" i="5" s="1"/>
  <c r="AP10" i="5"/>
  <c r="AN10" i="5"/>
  <c r="AO10" i="5"/>
  <c r="AL10" i="5"/>
  <c r="AE6" i="5"/>
  <c r="AA6" i="5"/>
  <c r="BG9" i="5"/>
  <c r="BC9" i="5"/>
  <c r="AY9" i="5"/>
  <c r="AU9" i="5"/>
  <c r="AQ9" i="5"/>
  <c r="AM9" i="5"/>
  <c r="BF9" i="5"/>
  <c r="BB9" i="5"/>
  <c r="AX9" i="5"/>
  <c r="BE9" i="5"/>
  <c r="BA9" i="5"/>
  <c r="AW9" i="5"/>
  <c r="BH9" i="5"/>
  <c r="AR9" i="5"/>
  <c r="BD9" i="5"/>
  <c r="AN9" i="5"/>
  <c r="AZ9" i="5"/>
  <c r="AV9" i="5"/>
  <c r="AJ9" i="5" s="1"/>
  <c r="AK9" i="5"/>
  <c r="AL9" i="5"/>
  <c r="AO9" i="5"/>
  <c r="AP9" i="5"/>
  <c r="AD9" i="5" s="1"/>
  <c r="AS9" i="5"/>
  <c r="AT9" i="5"/>
  <c r="AG8" i="5"/>
  <c r="AH6" i="5"/>
  <c r="AD8" i="5"/>
  <c r="AA4" i="5"/>
  <c r="AF4" i="5"/>
  <c r="BE7" i="5"/>
  <c r="BA7" i="5"/>
  <c r="AW7" i="5"/>
  <c r="BD7" i="5"/>
  <c r="AY7" i="5"/>
  <c r="AT7" i="5"/>
  <c r="AN7" i="5"/>
  <c r="BH7" i="5"/>
  <c r="BC7" i="5"/>
  <c r="AX7" i="5"/>
  <c r="BG7" i="5"/>
  <c r="BB7" i="5"/>
  <c r="AP7" i="5"/>
  <c r="BF7" i="5"/>
  <c r="AZ7" i="5"/>
  <c r="AU7" i="5"/>
  <c r="AL7" i="5"/>
  <c r="AS7" i="5"/>
  <c r="AQ7" i="5"/>
  <c r="AM7" i="5"/>
  <c r="AO7" i="5"/>
  <c r="AV7" i="5"/>
  <c r="AR7" i="5"/>
  <c r="AK7" i="5"/>
  <c r="BH12" i="5"/>
  <c r="BD12" i="5"/>
  <c r="AZ12" i="5"/>
  <c r="BF12" i="5"/>
  <c r="BA12" i="5"/>
  <c r="AV12" i="5"/>
  <c r="AR12" i="5"/>
  <c r="AN12" i="5"/>
  <c r="BE12" i="5"/>
  <c r="AY12" i="5"/>
  <c r="AU12" i="5"/>
  <c r="AQ12" i="5"/>
  <c r="AM12" i="5"/>
  <c r="BC12" i="5"/>
  <c r="AX12" i="5"/>
  <c r="AW12" i="5"/>
  <c r="AS12" i="5"/>
  <c r="AG12" i="5" s="1"/>
  <c r="BG12" i="5"/>
  <c r="AO12" i="5"/>
  <c r="BB12" i="5"/>
  <c r="AK12" i="5"/>
  <c r="AP12" i="5"/>
  <c r="AT12" i="5"/>
  <c r="AL12" i="5"/>
  <c r="AC6" i="5"/>
  <c r="BE11" i="5"/>
  <c r="BA11" i="5"/>
  <c r="AW11" i="5"/>
  <c r="BH11" i="5"/>
  <c r="BD11" i="5"/>
  <c r="AZ11" i="5"/>
  <c r="BG11" i="5"/>
  <c r="BC11" i="5"/>
  <c r="AY11" i="5"/>
  <c r="BB11" i="5"/>
  <c r="AX11" i="5"/>
  <c r="BF11" i="5"/>
  <c r="AP11" i="5"/>
  <c r="AO11" i="5"/>
  <c r="AC11" i="5" s="1"/>
  <c r="AQ11" i="5"/>
  <c r="AS11" i="5"/>
  <c r="AG11" i="5" s="1"/>
  <c r="AN11" i="5"/>
  <c r="AU11" i="5"/>
  <c r="AK11" i="5"/>
  <c r="Y11" i="5" s="1"/>
  <c r="AV11" i="5"/>
  <c r="AJ11" i="5" s="1"/>
  <c r="AM11" i="5"/>
  <c r="AA11" i="5" s="1"/>
  <c r="AT11" i="5"/>
  <c r="AR11" i="5"/>
  <c r="AL11" i="5"/>
  <c r="Z11" i="5" s="1"/>
  <c r="AE4" i="5"/>
  <c r="AD4" i="5"/>
  <c r="AG4" i="5"/>
  <c r="AJ4" i="5"/>
  <c r="AE10" i="5" l="1"/>
  <c r="AI5" i="5"/>
  <c r="Z5" i="5"/>
  <c r="AJ8" i="5"/>
  <c r="AC10" i="5"/>
  <c r="AA13" i="5"/>
  <c r="Z12" i="5"/>
  <c r="AB12" i="5"/>
  <c r="Z13" i="5"/>
  <c r="AF9" i="5"/>
  <c r="AA9" i="5"/>
  <c r="AH5" i="5"/>
  <c r="AA5" i="5"/>
  <c r="Y12" i="5"/>
  <c r="AB10" i="5"/>
  <c r="AF5" i="5"/>
  <c r="AE13" i="5"/>
  <c r="Y7" i="5"/>
  <c r="AI7" i="5"/>
  <c r="AG13" i="5"/>
  <c r="AF11" i="5"/>
  <c r="AG7" i="5"/>
  <c r="AF13" i="5"/>
  <c r="AA7" i="5"/>
  <c r="AC9" i="5"/>
  <c r="AD12" i="5"/>
  <c r="AJ12" i="5"/>
  <c r="AE7" i="5"/>
  <c r="AB7" i="5"/>
  <c r="AH9" i="5"/>
  <c r="Z10" i="5"/>
  <c r="AJ10" i="5"/>
  <c r="AE9" i="5"/>
  <c r="AF10" i="5"/>
  <c r="AA10" i="5"/>
  <c r="X4" i="5"/>
  <c r="AE12" i="5"/>
  <c r="AJ7" i="5"/>
  <c r="AH7" i="5"/>
  <c r="Z9" i="5"/>
  <c r="AB9" i="5"/>
  <c r="AI9" i="5"/>
  <c r="AE5" i="5"/>
  <c r="AB5" i="5"/>
  <c r="X6" i="5"/>
  <c r="AD13" i="5"/>
  <c r="Y13" i="5"/>
  <c r="AE11" i="5"/>
  <c r="AA12" i="5"/>
  <c r="AF7" i="5"/>
  <c r="AH11" i="5"/>
  <c r="AI11" i="5"/>
  <c r="AB11" i="5"/>
  <c r="AD11" i="5"/>
  <c r="AH12" i="5"/>
  <c r="AC12" i="5"/>
  <c r="AI12" i="5"/>
  <c r="AF12" i="5"/>
  <c r="AC7" i="5"/>
  <c r="Z7" i="5"/>
  <c r="AD7" i="5"/>
  <c r="AG9" i="5"/>
  <c r="Y9" i="5"/>
  <c r="AD10" i="5"/>
  <c r="AI10" i="5"/>
  <c r="X8" i="5"/>
  <c r="AG5" i="5"/>
  <c r="AC5" i="5"/>
  <c r="X10" i="5" l="1"/>
  <c r="X7" i="5"/>
  <c r="X11" i="5"/>
  <c r="X12" i="5"/>
  <c r="X5" i="5"/>
  <c r="X9" i="5"/>
  <c r="X13" i="5"/>
  <c r="X1" i="5" l="1"/>
  <c r="BZ1" i="4"/>
  <c r="B1" i="4"/>
  <c r="X1" i="4" l="1"/>
  <c r="Z8" i="3" l="1"/>
  <c r="AB8" i="3" s="1"/>
  <c r="AD8" i="3" s="1"/>
  <c r="Y8" i="3"/>
  <c r="AA8" i="3" s="1"/>
  <c r="BW5" i="3"/>
  <c r="V5" i="3"/>
  <c r="S5" i="3"/>
  <c r="BQ5" i="3" s="1"/>
  <c r="H5" i="3"/>
  <c r="E5" i="3"/>
  <c r="BW4" i="3"/>
  <c r="V4" i="3"/>
  <c r="S4" i="3"/>
  <c r="H4" i="3"/>
  <c r="E4" i="3"/>
  <c r="BZ1" i="3"/>
  <c r="B1" i="3"/>
  <c r="AC8" i="3" l="1"/>
  <c r="AF8" i="3" s="1"/>
  <c r="BK5" i="3"/>
  <c r="BN5" i="3"/>
  <c r="BP5" i="3"/>
  <c r="A4" i="3"/>
  <c r="BV4" i="3" s="1"/>
  <c r="BS5" i="3"/>
  <c r="BQ4" i="3"/>
  <c r="BS4" i="3"/>
  <c r="BN4" i="3"/>
  <c r="BP4" i="3"/>
  <c r="BK4" i="3"/>
  <c r="BO4" i="3"/>
  <c r="BJ4" i="3"/>
  <c r="BT4" i="3"/>
  <c r="BR4" i="3"/>
  <c r="BL4" i="3"/>
  <c r="BJ5" i="3"/>
  <c r="BO5" i="3"/>
  <c r="BT5" i="3"/>
  <c r="BL5" i="3"/>
  <c r="BR5" i="3"/>
  <c r="A5" i="3"/>
  <c r="BI4" i="3"/>
  <c r="BM4" i="3"/>
  <c r="BI5" i="3"/>
  <c r="BM5" i="3"/>
  <c r="AE8" i="3"/>
  <c r="W4" i="3" l="1"/>
  <c r="BU4" i="3"/>
  <c r="BD4" i="3" s="1"/>
  <c r="BV5" i="3"/>
  <c r="W5" i="3"/>
  <c r="AG8" i="3"/>
  <c r="AI8" i="3" s="1"/>
  <c r="AH8" i="3"/>
  <c r="BU5" i="3"/>
  <c r="BC4" i="3"/>
  <c r="AL4" i="3" l="1"/>
  <c r="AW4" i="3"/>
  <c r="AR4" i="3"/>
  <c r="AF4" i="3" s="1"/>
  <c r="AQ4" i="3"/>
  <c r="AE4" i="3" s="1"/>
  <c r="BA4" i="3"/>
  <c r="BB4" i="3"/>
  <c r="AN4" i="3"/>
  <c r="BH4" i="3"/>
  <c r="AT4" i="3"/>
  <c r="AZ4" i="3"/>
  <c r="AM4" i="3"/>
  <c r="AP4" i="3"/>
  <c r="AX4" i="3"/>
  <c r="Z4" i="3" s="1"/>
  <c r="AY4" i="3"/>
  <c r="BE4" i="3"/>
  <c r="BG4" i="3"/>
  <c r="AU4" i="3"/>
  <c r="AV4" i="3"/>
  <c r="BF4" i="3"/>
  <c r="AK4" i="3"/>
  <c r="AS4" i="3"/>
  <c r="AO4" i="3"/>
  <c r="BF5" i="3"/>
  <c r="BB5" i="3"/>
  <c r="AX5" i="3"/>
  <c r="AT5" i="3"/>
  <c r="AP5" i="3"/>
  <c r="AL5" i="3"/>
  <c r="BE5" i="3"/>
  <c r="BA5" i="3"/>
  <c r="AW5" i="3"/>
  <c r="BC5" i="3"/>
  <c r="AU5" i="3"/>
  <c r="AM5" i="3"/>
  <c r="BH5" i="3"/>
  <c r="AZ5" i="3"/>
  <c r="AR5" i="3"/>
  <c r="BD5" i="3"/>
  <c r="AN5" i="3"/>
  <c r="AY5" i="3"/>
  <c r="AV5" i="3"/>
  <c r="BG5" i="3"/>
  <c r="AQ5" i="3"/>
  <c r="AO5" i="3"/>
  <c r="AS5" i="3"/>
  <c r="AG5" i="3" s="1"/>
  <c r="AK5" i="3"/>
  <c r="AJ4" i="3" l="1"/>
  <c r="AG4" i="3"/>
  <c r="Y4" i="3"/>
  <c r="AH4" i="3"/>
  <c r="AB4" i="3"/>
  <c r="AD4" i="3"/>
  <c r="AJ5" i="3"/>
  <c r="AI4" i="3"/>
  <c r="AA4" i="3"/>
  <c r="AC4" i="3"/>
  <c r="Y5" i="3"/>
  <c r="AH5" i="3"/>
  <c r="AE5" i="3"/>
  <c r="AB5" i="3"/>
  <c r="AD5" i="3"/>
  <c r="AA5" i="3"/>
  <c r="AF5" i="3"/>
  <c r="AI5" i="3"/>
  <c r="AC5" i="3"/>
  <c r="Z5" i="3"/>
  <c r="X4" i="3" l="1"/>
  <c r="U1" i="3" s="1"/>
  <c r="X5" i="3"/>
  <c r="AH1" i="3"/>
  <c r="AJ1" i="3"/>
  <c r="AG1" i="3"/>
  <c r="Y1" i="3"/>
  <c r="AD1" i="3"/>
  <c r="Z1" i="3"/>
  <c r="AE1" i="3"/>
  <c r="AA1" i="3"/>
  <c r="AI1" i="3"/>
  <c r="AB1" i="3"/>
  <c r="AF1" i="3"/>
  <c r="AC1" i="3"/>
  <c r="X1" i="3" l="1"/>
  <c r="BW6" i="2" l="1"/>
  <c r="S6" i="2"/>
  <c r="BL6" i="2" s="1"/>
  <c r="H6" i="2"/>
  <c r="E6" i="2"/>
  <c r="BW5" i="2"/>
  <c r="S5" i="2"/>
  <c r="BR5" i="2" s="1"/>
  <c r="L5" i="2"/>
  <c r="H5" i="2"/>
  <c r="E5" i="2"/>
  <c r="BW4" i="2"/>
  <c r="S4" i="2"/>
  <c r="BP4" i="2" s="1"/>
  <c r="L4" i="2"/>
  <c r="H4" i="2"/>
  <c r="BV4" i="2" s="1"/>
  <c r="E4" i="2"/>
  <c r="BZ1" i="2"/>
  <c r="B1" i="2"/>
  <c r="A5" i="2" l="1"/>
  <c r="W5" i="2" s="1"/>
  <c r="A6" i="2"/>
  <c r="BV6" i="2" s="1"/>
  <c r="BI4" i="2"/>
  <c r="BR4" i="2"/>
  <c r="BJ4" i="2"/>
  <c r="BQ5" i="2"/>
  <c r="BM5" i="2"/>
  <c r="BI5" i="2"/>
  <c r="BT5" i="2"/>
  <c r="BO5" i="2"/>
  <c r="BJ5" i="2"/>
  <c r="BS5" i="2"/>
  <c r="BN5" i="2"/>
  <c r="BK5" i="2"/>
  <c r="BV5" i="2"/>
  <c r="BQ6" i="2"/>
  <c r="BM6" i="2"/>
  <c r="BI6" i="2"/>
  <c r="BP6" i="2"/>
  <c r="BK6" i="2"/>
  <c r="BT6" i="2"/>
  <c r="BO6" i="2"/>
  <c r="BJ6" i="2"/>
  <c r="BN6" i="2"/>
  <c r="A4" i="2"/>
  <c r="W4" i="2" s="1"/>
  <c r="BS4" i="2"/>
  <c r="BO4" i="2"/>
  <c r="BK4" i="2"/>
  <c r="BQ4" i="2"/>
  <c r="BL4" i="2"/>
  <c r="BM4" i="2"/>
  <c r="BT4" i="2"/>
  <c r="BL5" i="2"/>
  <c r="BR6" i="2"/>
  <c r="BN4" i="2"/>
  <c r="BP5" i="2"/>
  <c r="BS6" i="2"/>
  <c r="BU4" i="2" l="1"/>
  <c r="AY4" i="2" s="1"/>
  <c r="BC4" i="2"/>
  <c r="BA4" i="2"/>
  <c r="BH4" i="2"/>
  <c r="AT4" i="2"/>
  <c r="BE4" i="2"/>
  <c r="BD4" i="2"/>
  <c r="AU4" i="2"/>
  <c r="AR4" i="2"/>
  <c r="AF4" i="2" s="1"/>
  <c r="AK4" i="2"/>
  <c r="AL4" i="2"/>
  <c r="BU6" i="2"/>
  <c r="BU5" i="2"/>
  <c r="AQ4" i="2" l="1"/>
  <c r="AS4" i="2"/>
  <c r="AX4" i="2"/>
  <c r="Z4" i="2" s="1"/>
  <c r="BG4" i="2"/>
  <c r="AI4" i="2" s="1"/>
  <c r="AE4" i="2"/>
  <c r="AG4" i="2"/>
  <c r="AP4" i="2"/>
  <c r="AW4" i="2"/>
  <c r="Y4" i="2" s="1"/>
  <c r="BB4" i="2"/>
  <c r="BF4" i="2"/>
  <c r="AH4" i="2" s="1"/>
  <c r="AV4" i="2"/>
  <c r="AJ4" i="2" s="1"/>
  <c r="AM4" i="2"/>
  <c r="AA4" i="2" s="1"/>
  <c r="AO4" i="2"/>
  <c r="AC4" i="2" s="1"/>
  <c r="AN4" i="2"/>
  <c r="AZ4" i="2"/>
  <c r="BE5" i="2"/>
  <c r="BA5" i="2"/>
  <c r="AW5" i="2"/>
  <c r="BD5" i="2"/>
  <c r="AY5" i="2"/>
  <c r="BH5" i="2"/>
  <c r="BC5" i="2"/>
  <c r="AX5" i="2"/>
  <c r="BF5" i="2"/>
  <c r="BB5" i="2"/>
  <c r="BG5" i="2"/>
  <c r="AV5" i="2"/>
  <c r="AL5" i="2"/>
  <c r="AZ5" i="2"/>
  <c r="AN5" i="2"/>
  <c r="AB5" i="2" s="1"/>
  <c r="AM5" i="2"/>
  <c r="AP5" i="2"/>
  <c r="AS5" i="2"/>
  <c r="AU5" i="2"/>
  <c r="AI5" i="2" s="1"/>
  <c r="AQ5" i="2"/>
  <c r="AO5" i="2"/>
  <c r="AK5" i="2"/>
  <c r="AT5" i="2"/>
  <c r="AR5" i="2"/>
  <c r="AF5" i="2" s="1"/>
  <c r="BE6" i="2"/>
  <c r="BA6" i="2"/>
  <c r="AW6" i="2"/>
  <c r="BF6" i="2"/>
  <c r="AZ6" i="2"/>
  <c r="BD6" i="2"/>
  <c r="AY6" i="2"/>
  <c r="BH6" i="2"/>
  <c r="AX6" i="2"/>
  <c r="BG6" i="2"/>
  <c r="BB6" i="2"/>
  <c r="BC6" i="2"/>
  <c r="AQ6" i="2"/>
  <c r="AK6" i="2"/>
  <c r="AP6" i="2"/>
  <c r="AD6" i="2" s="1"/>
  <c r="AT6" i="2"/>
  <c r="AH6" i="2" s="1"/>
  <c r="AN6" i="2"/>
  <c r="AB6" i="2" s="1"/>
  <c r="AO6" i="2"/>
  <c r="AC6" i="2" s="1"/>
  <c r="AS6" i="2"/>
  <c r="AR6" i="2"/>
  <c r="AL6" i="2"/>
  <c r="Z6" i="2" s="1"/>
  <c r="AU6" i="2"/>
  <c r="AI6" i="2" s="1"/>
  <c r="AV6" i="2"/>
  <c r="AM6" i="2"/>
  <c r="AD4" i="2" l="1"/>
  <c r="AG6" i="2"/>
  <c r="AH5" i="2"/>
  <c r="AG5" i="2"/>
  <c r="Y6" i="2"/>
  <c r="Y5" i="2"/>
  <c r="AB4" i="2"/>
  <c r="X4" i="2" s="1"/>
  <c r="AC5" i="2"/>
  <c r="AD5" i="2"/>
  <c r="AA6" i="2"/>
  <c r="AF6" i="2"/>
  <c r="AE5" i="2"/>
  <c r="AA5" i="2"/>
  <c r="AJ5" i="2"/>
  <c r="AJ6" i="2"/>
  <c r="AE6" i="2"/>
  <c r="Z5" i="2"/>
  <c r="X5" i="2" l="1"/>
  <c r="X6" i="2"/>
  <c r="X1" i="2" s="1"/>
  <c r="T21" i="1" l="1"/>
  <c r="BW9" i="1"/>
  <c r="S9" i="1"/>
  <c r="BP9" i="1" s="1"/>
  <c r="L9" i="1"/>
  <c r="H9" i="1"/>
  <c r="E9" i="1"/>
  <c r="BW8" i="1"/>
  <c r="S8" i="1"/>
  <c r="BS8" i="1" s="1"/>
  <c r="L8" i="1"/>
  <c r="H8" i="1"/>
  <c r="E8" i="1"/>
  <c r="BW7" i="1"/>
  <c r="S7" i="1"/>
  <c r="BP7" i="1" s="1"/>
  <c r="L7" i="1"/>
  <c r="H7" i="1"/>
  <c r="E7" i="1"/>
  <c r="BW6" i="1"/>
  <c r="S6" i="1"/>
  <c r="L6" i="1"/>
  <c r="H6" i="1"/>
  <c r="E6" i="1"/>
  <c r="BW5" i="1"/>
  <c r="S5" i="1"/>
  <c r="BQ5" i="1" s="1"/>
  <c r="L5" i="1"/>
  <c r="H5" i="1"/>
  <c r="E5" i="1"/>
  <c r="BW4" i="1"/>
  <c r="BJ4" i="1"/>
  <c r="U4" i="1"/>
  <c r="S4" i="1"/>
  <c r="BR4" i="1" s="1"/>
  <c r="L4" i="1"/>
  <c r="H4" i="1"/>
  <c r="E4" i="1"/>
  <c r="BZ1" i="1"/>
  <c r="B1" i="1"/>
  <c r="BT8" i="1" l="1"/>
  <c r="BJ8" i="1"/>
  <c r="A5" i="1"/>
  <c r="BV5" i="1" s="1"/>
  <c r="BI8" i="1"/>
  <c r="BS9" i="1"/>
  <c r="BS6" i="1"/>
  <c r="BM6" i="1"/>
  <c r="A4" i="1"/>
  <c r="BV4" i="1" s="1"/>
  <c r="BN8" i="1"/>
  <c r="A9" i="1"/>
  <c r="BV9" i="1" s="1"/>
  <c r="BK9" i="1"/>
  <c r="A7" i="1"/>
  <c r="BV7" i="1" s="1"/>
  <c r="BP8" i="1"/>
  <c r="BT6" i="1"/>
  <c r="BP6" i="1"/>
  <c r="BK6" i="1"/>
  <c r="BR7" i="1"/>
  <c r="BK7" i="1"/>
  <c r="A6" i="1"/>
  <c r="BV6" i="1" s="1"/>
  <c r="BL8" i="1"/>
  <c r="BQ8" i="1"/>
  <c r="BM8" i="1"/>
  <c r="BR8" i="1"/>
  <c r="A8" i="1"/>
  <c r="BV8" i="1" s="1"/>
  <c r="BT4" i="1"/>
  <c r="BP4" i="1"/>
  <c r="BL4" i="1"/>
  <c r="BS4" i="1"/>
  <c r="BO4" i="1"/>
  <c r="BK4" i="1"/>
  <c r="BQ4" i="1"/>
  <c r="BM4" i="1"/>
  <c r="BI4" i="1"/>
  <c r="BN4" i="1"/>
  <c r="BJ5" i="1"/>
  <c r="BN5" i="1"/>
  <c r="BR5" i="1"/>
  <c r="BI6" i="1"/>
  <c r="BO6" i="1"/>
  <c r="BJ7" i="1"/>
  <c r="BO7" i="1"/>
  <c r="BT7" i="1"/>
  <c r="BK5" i="1"/>
  <c r="BO5" i="1"/>
  <c r="BS5" i="1"/>
  <c r="BL5" i="1"/>
  <c r="BP5" i="1"/>
  <c r="BT5" i="1"/>
  <c r="BR6" i="1"/>
  <c r="BN6" i="1"/>
  <c r="BJ6" i="1"/>
  <c r="BL6" i="1"/>
  <c r="BQ6" i="1"/>
  <c r="BL7" i="1"/>
  <c r="BI5" i="1"/>
  <c r="BM5" i="1"/>
  <c r="BQ7" i="1"/>
  <c r="BM7" i="1"/>
  <c r="BI7" i="1"/>
  <c r="BN7" i="1"/>
  <c r="BS7" i="1"/>
  <c r="BQ9" i="1"/>
  <c r="BM9" i="1"/>
  <c r="BI9" i="1"/>
  <c r="BR9" i="1"/>
  <c r="BL9" i="1"/>
  <c r="BT9" i="1"/>
  <c r="BO9" i="1"/>
  <c r="BJ9" i="1"/>
  <c r="BN9" i="1"/>
  <c r="BK8" i="1"/>
  <c r="BO8" i="1"/>
  <c r="BU8" i="1" l="1"/>
  <c r="BC8" i="1" s="1"/>
  <c r="BG8" i="1"/>
  <c r="BE8" i="1"/>
  <c r="BA8" i="1"/>
  <c r="AO8" i="1"/>
  <c r="AK8" i="1"/>
  <c r="AN8" i="1"/>
  <c r="BB8" i="1"/>
  <c r="BH8" i="1"/>
  <c r="AZ8" i="1"/>
  <c r="AX8" i="1"/>
  <c r="AP8" i="1"/>
  <c r="AD8" i="1" s="1"/>
  <c r="AQ8" i="1"/>
  <c r="BU6" i="1"/>
  <c r="BU9" i="1"/>
  <c r="BU4" i="1"/>
  <c r="BU7" i="1"/>
  <c r="BU5" i="1"/>
  <c r="AM8" i="1" l="1"/>
  <c r="BF8" i="1"/>
  <c r="AL8" i="1"/>
  <c r="AV8" i="1"/>
  <c r="AS8" i="1"/>
  <c r="AY8" i="1"/>
  <c r="AU8" i="1"/>
  <c r="AR8" i="1"/>
  <c r="AT8" i="1"/>
  <c r="AH8" i="1" s="1"/>
  <c r="BD8" i="1"/>
  <c r="AW8" i="1"/>
  <c r="Z8" i="1"/>
  <c r="AJ8" i="1"/>
  <c r="AG8" i="1"/>
  <c r="Y8" i="1"/>
  <c r="AE8" i="1"/>
  <c r="AB8" i="1"/>
  <c r="AC8" i="1"/>
  <c r="BE7" i="1"/>
  <c r="BA7" i="1"/>
  <c r="AW7" i="1"/>
  <c r="BH7" i="1"/>
  <c r="BC7" i="1"/>
  <c r="AX7" i="1"/>
  <c r="BG7" i="1"/>
  <c r="BB7" i="1"/>
  <c r="BF7" i="1"/>
  <c r="AZ7" i="1"/>
  <c r="AU7" i="1"/>
  <c r="AI7" i="1" s="1"/>
  <c r="AP7" i="1"/>
  <c r="AD7" i="1" s="1"/>
  <c r="BD7" i="1"/>
  <c r="AY7" i="1"/>
  <c r="AM7" i="1"/>
  <c r="AN7" i="1"/>
  <c r="AL7" i="1"/>
  <c r="AS7" i="1"/>
  <c r="AR7" i="1"/>
  <c r="AT7" i="1"/>
  <c r="AQ7" i="1"/>
  <c r="AE7" i="1" s="1"/>
  <c r="AO7" i="1"/>
  <c r="AC7" i="1" s="1"/>
  <c r="AV7" i="1"/>
  <c r="AK7" i="1"/>
  <c r="BH4" i="1"/>
  <c r="BD4" i="1"/>
  <c r="AZ4" i="1"/>
  <c r="BE4" i="1"/>
  <c r="BA4" i="1"/>
  <c r="AW4" i="1"/>
  <c r="BB4" i="1"/>
  <c r="AL4" i="1"/>
  <c r="AX4" i="1"/>
  <c r="AT4" i="1"/>
  <c r="BF4" i="1"/>
  <c r="AR4" i="1"/>
  <c r="AO4" i="1"/>
  <c r="AC4" i="1" s="1"/>
  <c r="AY4" i="1"/>
  <c r="AN4" i="1"/>
  <c r="AB4" i="1" s="1"/>
  <c r="AU4" i="1"/>
  <c r="AK4" i="1"/>
  <c r="BG4" i="1"/>
  <c r="BC4" i="1"/>
  <c r="AQ4" i="1"/>
  <c r="AP4" i="1"/>
  <c r="AV4" i="1"/>
  <c r="AM4" i="1"/>
  <c r="AS4" i="1"/>
  <c r="AG4" i="1" s="1"/>
  <c r="BE9" i="1"/>
  <c r="BA9" i="1"/>
  <c r="AW9" i="1"/>
  <c r="BG9" i="1"/>
  <c r="BB9" i="1"/>
  <c r="BD9" i="1"/>
  <c r="AY9" i="1"/>
  <c r="BH9" i="1"/>
  <c r="AX9" i="1"/>
  <c r="AM9" i="1"/>
  <c r="BF9" i="1"/>
  <c r="AU9" i="1"/>
  <c r="AI9" i="1" s="1"/>
  <c r="BC9" i="1"/>
  <c r="AZ9" i="1"/>
  <c r="AP9" i="1"/>
  <c r="AO9" i="1"/>
  <c r="AV9" i="1"/>
  <c r="AR9" i="1"/>
  <c r="AF9" i="1" s="1"/>
  <c r="AK9" i="1"/>
  <c r="Y9" i="1" s="1"/>
  <c r="AQ9" i="1"/>
  <c r="AL9" i="1"/>
  <c r="Z9" i="1" s="1"/>
  <c r="AT9" i="1"/>
  <c r="AS9" i="1"/>
  <c r="AN9" i="1"/>
  <c r="AI8" i="1"/>
  <c r="BE5" i="1"/>
  <c r="BA5" i="1"/>
  <c r="AW5" i="1"/>
  <c r="BH5" i="1"/>
  <c r="BD5" i="1"/>
  <c r="AZ5" i="1"/>
  <c r="BG5" i="1"/>
  <c r="BC5" i="1"/>
  <c r="AY5" i="1"/>
  <c r="BF5" i="1"/>
  <c r="BB5" i="1"/>
  <c r="AX5" i="1"/>
  <c r="AT5" i="1"/>
  <c r="AQ5" i="1"/>
  <c r="AV5" i="1"/>
  <c r="AU5" i="1"/>
  <c r="AK5" i="1"/>
  <c r="AL5" i="1"/>
  <c r="AN5" i="1"/>
  <c r="AO5" i="1"/>
  <c r="AP5" i="1"/>
  <c r="AM5" i="1"/>
  <c r="AR5" i="1"/>
  <c r="AS5" i="1"/>
  <c r="BF6" i="1"/>
  <c r="BB6" i="1"/>
  <c r="AX6" i="1"/>
  <c r="BH6" i="1"/>
  <c r="BC6" i="1"/>
  <c r="AW6" i="1"/>
  <c r="AR6" i="1"/>
  <c r="AN6" i="1"/>
  <c r="BG6" i="1"/>
  <c r="BA6" i="1"/>
  <c r="BE6" i="1"/>
  <c r="AZ6" i="1"/>
  <c r="AU6" i="1"/>
  <c r="AI6" i="1" s="1"/>
  <c r="AP6" i="1"/>
  <c r="AD6" i="1" s="1"/>
  <c r="AL6" i="1"/>
  <c r="Z6" i="1" s="1"/>
  <c r="BD6" i="1"/>
  <c r="AY6" i="1"/>
  <c r="AK6" i="1"/>
  <c r="Y6" i="1" s="1"/>
  <c r="AM6" i="1"/>
  <c r="AO6" i="1"/>
  <c r="AQ6" i="1"/>
  <c r="AE6" i="1" s="1"/>
  <c r="AS6" i="1"/>
  <c r="AV6" i="1"/>
  <c r="AT6" i="1"/>
  <c r="AA8" i="1" l="1"/>
  <c r="X8" i="1" s="1"/>
  <c r="AF8" i="1"/>
  <c r="AA5" i="1"/>
  <c r="AE4" i="1"/>
  <c r="AD5" i="1"/>
  <c r="Y5" i="1"/>
  <c r="AE9" i="1"/>
  <c r="AH4" i="1"/>
  <c r="AA7" i="1"/>
  <c r="AI5" i="1"/>
  <c r="AD4" i="1"/>
  <c r="AH9" i="1"/>
  <c r="AA9" i="1"/>
  <c r="Z4" i="1"/>
  <c r="AJ7" i="1"/>
  <c r="AJ4" i="1"/>
  <c r="AG5" i="1"/>
  <c r="AC5" i="1"/>
  <c r="AI4" i="1"/>
  <c r="AF4" i="1"/>
  <c r="Z7" i="1"/>
  <c r="AJ6" i="1"/>
  <c r="AF6" i="1"/>
  <c r="AG9" i="1"/>
  <c r="AD9" i="1"/>
  <c r="Y7" i="1"/>
  <c r="AB7" i="1"/>
  <c r="AH6" i="1"/>
  <c r="AC6" i="1"/>
  <c r="AB6" i="1"/>
  <c r="AF5" i="1"/>
  <c r="AB5" i="1"/>
  <c r="AJ5" i="1"/>
  <c r="AJ9" i="1"/>
  <c r="AA4" i="1"/>
  <c r="AH7" i="1"/>
  <c r="AE5" i="1"/>
  <c r="AB9" i="1"/>
  <c r="AC9" i="1"/>
  <c r="AF7" i="1"/>
  <c r="AA6" i="1"/>
  <c r="Z5" i="1"/>
  <c r="AG6" i="1"/>
  <c r="AH5" i="1"/>
  <c r="Y4" i="1"/>
  <c r="AG7" i="1"/>
  <c r="X9" i="1" l="1"/>
  <c r="X7" i="1"/>
  <c r="X6" i="1"/>
  <c r="X4" i="1"/>
  <c r="X5" i="1"/>
  <c r="X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Polina Ravzin</author>
  </authors>
  <commentList>
    <comment ref="AK1" authorId="0" shapeId="0" xr:uid="{3845DEE1-7B2A-43E1-95FF-09AE06C0DDD8}">
      <text>
        <r>
          <rPr>
            <b/>
            <sz val="9"/>
            <color indexed="81"/>
            <rFont val="Tahoma"/>
            <family val="2"/>
          </rPr>
          <t>Polina Ravzin:</t>
        </r>
        <r>
          <rPr>
            <sz val="9"/>
            <color indexed="81"/>
            <rFont val="Tahoma"/>
            <family val="2"/>
          </rPr>
          <t xml:space="preserve">
האם יש משמעות למיספור פה?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Polina Ravzin</author>
  </authors>
  <commentList>
    <comment ref="AK1" authorId="0" shapeId="0" xr:uid="{CF89D00E-42D5-4CBD-B664-C1CED09D5C1D}">
      <text>
        <r>
          <rPr>
            <b/>
            <sz val="9"/>
            <color indexed="81"/>
            <rFont val="Tahoma"/>
            <family val="2"/>
          </rPr>
          <t>Polina Ravzin:</t>
        </r>
        <r>
          <rPr>
            <sz val="9"/>
            <color indexed="81"/>
            <rFont val="Tahoma"/>
            <family val="2"/>
          </rPr>
          <t xml:space="preserve">
האם יש משמעות למיספור פה?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Polina Ravzin</author>
  </authors>
  <commentList>
    <comment ref="AK1" authorId="0" shapeId="0" xr:uid="{4ADF3C10-E147-4AC6-9CE9-BEAD01EC040E}">
      <text>
        <r>
          <rPr>
            <b/>
            <sz val="9"/>
            <color indexed="81"/>
            <rFont val="Tahoma"/>
            <family val="2"/>
          </rPr>
          <t>Polina Ravzin:</t>
        </r>
        <r>
          <rPr>
            <sz val="9"/>
            <color indexed="81"/>
            <rFont val="Tahoma"/>
            <family val="2"/>
          </rPr>
          <t xml:space="preserve">
האם יש משמעות למיספור פה?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Polina Ravzin</author>
  </authors>
  <commentList>
    <comment ref="AK1" authorId="0" shapeId="0" xr:uid="{119A3D11-CB89-49A6-A54B-3E252FC0F6D8}">
      <text>
        <r>
          <rPr>
            <b/>
            <sz val="9"/>
            <color indexed="81"/>
            <rFont val="Tahoma"/>
            <family val="2"/>
          </rPr>
          <t>Polina Ravzin:</t>
        </r>
        <r>
          <rPr>
            <sz val="9"/>
            <color indexed="81"/>
            <rFont val="Tahoma"/>
            <family val="2"/>
          </rPr>
          <t xml:space="preserve">
האם יש משמעות למיספור פה? 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Polina Ravzin</author>
  </authors>
  <commentList>
    <comment ref="AK1" authorId="0" shapeId="0" xr:uid="{99103338-FF5F-4D7E-9EA5-DFB9D3721402}">
      <text>
        <r>
          <rPr>
            <b/>
            <sz val="9"/>
            <color indexed="81"/>
            <rFont val="Tahoma"/>
            <family val="2"/>
          </rPr>
          <t>Polina Ravzin:</t>
        </r>
        <r>
          <rPr>
            <sz val="9"/>
            <color indexed="81"/>
            <rFont val="Tahoma"/>
            <family val="2"/>
          </rPr>
          <t xml:space="preserve">
האם יש משמעות למיספור פה?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Polina Ravzin</author>
  </authors>
  <commentList>
    <comment ref="AK1" authorId="0" shapeId="0" xr:uid="{E3A9A7B6-49F6-4426-8297-7094E723D403}">
      <text>
        <r>
          <rPr>
            <b/>
            <sz val="9"/>
            <color indexed="81"/>
            <rFont val="Tahoma"/>
            <family val="2"/>
          </rPr>
          <t>Polina Ravzin:</t>
        </r>
        <r>
          <rPr>
            <sz val="9"/>
            <color indexed="81"/>
            <rFont val="Tahoma"/>
            <family val="2"/>
          </rPr>
          <t xml:space="preserve">
האם יש משמעות למיספור פה? 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Polina Ravzin</author>
  </authors>
  <commentList>
    <comment ref="AK1" authorId="0" shapeId="0" xr:uid="{0C97A820-B953-4635-9212-05C49A87A441}">
      <text>
        <r>
          <rPr>
            <b/>
            <sz val="9"/>
            <color indexed="81"/>
            <rFont val="Tahoma"/>
            <family val="2"/>
          </rPr>
          <t>Polina Ravzin:</t>
        </r>
        <r>
          <rPr>
            <sz val="9"/>
            <color indexed="81"/>
            <rFont val="Tahoma"/>
            <family val="2"/>
          </rPr>
          <t xml:space="preserve">
האם יש משמעות למיספור פה? 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Polina Ravzin</author>
  </authors>
  <commentList>
    <comment ref="AK1" authorId="0" shapeId="0" xr:uid="{FC7D6D0C-97BE-431D-99F0-03B804BFB851}">
      <text>
        <r>
          <rPr>
            <b/>
            <sz val="9"/>
            <color indexed="81"/>
            <rFont val="Tahoma"/>
            <family val="2"/>
          </rPr>
          <t>Polina Ravzin:</t>
        </r>
        <r>
          <rPr>
            <sz val="9"/>
            <color indexed="81"/>
            <rFont val="Tahoma"/>
            <family val="2"/>
          </rPr>
          <t xml:space="preserve">
האם יש משמעות למיספור פה? </t>
        </r>
      </text>
    </comment>
  </commentList>
</comments>
</file>

<file path=xl/sharedStrings.xml><?xml version="1.0" encoding="utf-8"?>
<sst xmlns="http://schemas.openxmlformats.org/spreadsheetml/2006/main" count="1599" uniqueCount="172">
  <si>
    <t>Annual FX</t>
  </si>
  <si>
    <t xml:space="preserve">auto </t>
  </si>
  <si>
    <t xml:space="preserve">to choose </t>
  </si>
  <si>
    <t>auto</t>
  </si>
  <si>
    <t>choose a project</t>
  </si>
  <si>
    <t xml:space="preserve">האם צריך? </t>
  </si>
  <si>
    <t>choose a department</t>
  </si>
  <si>
    <t>choose expense type</t>
  </si>
  <si>
    <t>to be performed by (salary/role/external)</t>
  </si>
  <si>
    <t xml:space="preserve">to hide </t>
  </si>
  <si>
    <t xml:space="preserve">Final Budget </t>
  </si>
  <si>
    <t>Cost per month (auto)</t>
  </si>
  <si>
    <t>FTE per month (calculated)</t>
  </si>
  <si>
    <t>Task units per month (auto)</t>
  </si>
  <si>
    <t>Periods in use (auto)</t>
  </si>
  <si>
    <t>Budget Item</t>
  </si>
  <si>
    <t>Company</t>
  </si>
  <si>
    <t>Division</t>
  </si>
  <si>
    <t>FinReport</t>
  </si>
  <si>
    <t>Project Code</t>
  </si>
  <si>
    <t>Project Name</t>
  </si>
  <si>
    <t>Activity</t>
  </si>
  <si>
    <t>DepartmentNo.</t>
  </si>
  <si>
    <t>Department</t>
  </si>
  <si>
    <t>Nominal</t>
  </si>
  <si>
    <t>Ending</t>
  </si>
  <si>
    <t>Title</t>
  </si>
  <si>
    <t xml:space="preserve">Employee name </t>
  </si>
  <si>
    <t>Comment - Division</t>
  </si>
  <si>
    <t>Comment - CPB</t>
  </si>
  <si>
    <t>Start Timeframe</t>
  </si>
  <si>
    <t>End Timeframe</t>
  </si>
  <si>
    <t>Employee Name</t>
  </si>
  <si>
    <t>Duration</t>
  </si>
  <si>
    <t>% work on project</t>
  </si>
  <si>
    <t>Task Units</t>
  </si>
  <si>
    <t>External Expenses/Revenues USD</t>
  </si>
  <si>
    <t>Control</t>
  </si>
  <si>
    <t>Budget total cost</t>
  </si>
  <si>
    <t>Jan 2023 USD</t>
  </si>
  <si>
    <t>Feb 2023 USD</t>
  </si>
  <si>
    <t>Mar 2023 USD</t>
  </si>
  <si>
    <t>Apr 2023 USD</t>
  </si>
  <si>
    <t>May 2023 USD</t>
  </si>
  <si>
    <t>Jun 2023 USD</t>
  </si>
  <si>
    <t>Jul 2023 USD</t>
  </si>
  <si>
    <t>Aug 2023 USD</t>
  </si>
  <si>
    <t>Sep 2023 USD</t>
  </si>
  <si>
    <t>Oct 2023 USD</t>
  </si>
  <si>
    <t>Nov 2023 USD</t>
  </si>
  <si>
    <t>Dec 2023 USD</t>
  </si>
  <si>
    <t>Jan 2023 FTE</t>
  </si>
  <si>
    <t>Feb 2023 FTE</t>
  </si>
  <si>
    <t>Mar 2023 FTE</t>
  </si>
  <si>
    <t>Apr 2023 FTE</t>
  </si>
  <si>
    <t>May 2023 FTE</t>
  </si>
  <si>
    <t>Jun 2023 FTE</t>
  </si>
  <si>
    <t>Jul 2023 FTE</t>
  </si>
  <si>
    <t>Aug 2023 FTE</t>
  </si>
  <si>
    <t>Sep 2023 FTE</t>
  </si>
  <si>
    <t>Oct 2023 FTE</t>
  </si>
  <si>
    <t>Nov 2023 FTE</t>
  </si>
  <si>
    <t>Dec 2023 FTE</t>
  </si>
  <si>
    <t>Jan 2023 Units</t>
  </si>
  <si>
    <t>Feb 2023 Units</t>
  </si>
  <si>
    <t>Mar 2023 Units</t>
  </si>
  <si>
    <t>Apr 2023 Units</t>
  </si>
  <si>
    <t>May 2023 Units</t>
  </si>
  <si>
    <t>Jun 2023 Units</t>
  </si>
  <si>
    <t>Jul 2023 Units</t>
  </si>
  <si>
    <t>Aug 2023 Units</t>
  </si>
  <si>
    <t>Sep 2023 Units</t>
  </si>
  <si>
    <t>Oct 2023 Units</t>
  </si>
  <si>
    <t>Nov 2023 Units</t>
  </si>
  <si>
    <t>Dec 2023 Units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</si>
  <si>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</si>
  <si>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</si>
  <si>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</si>
  <si>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</si>
  <si>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</si>
  <si>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</si>
  <si>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</si>
  <si>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</si>
  <si>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</si>
  <si>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</si>
  <si>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</si>
  <si>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</si>
  <si>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Total</t>
  </si>
  <si>
    <t>FTE Cost</t>
  </si>
  <si>
    <t>Task Cost</t>
  </si>
  <si>
    <t>AgPlenus LTD</t>
  </si>
  <si>
    <t>AgPlenus</t>
  </si>
  <si>
    <t>General</t>
  </si>
  <si>
    <t>951 - Ongoing Task</t>
  </si>
  <si>
    <t>950 - Devlopment Task</t>
  </si>
  <si>
    <t>RD</t>
  </si>
  <si>
    <t>agPlenus Tech</t>
  </si>
  <si>
    <t>3.1 Complete ChemPass-based tools PoC
 ( PointHit; ActiveSearch)</t>
  </si>
  <si>
    <t>Bioinformatics</t>
  </si>
  <si>
    <t>T103 - Bioinformatician</t>
  </si>
  <si>
    <t xml:space="preserve">Support- </t>
  </si>
  <si>
    <t>Algorithm</t>
  </si>
  <si>
    <t>T102 - Algorithm Developer</t>
  </si>
  <si>
    <t>3.2 develop new ChemPass-based tool</t>
  </si>
  <si>
    <t>Product Management</t>
  </si>
  <si>
    <t>T109 - Product Manager</t>
  </si>
  <si>
    <t>Software Development</t>
  </si>
  <si>
    <t>T112 - Software Developer</t>
  </si>
  <si>
    <t>Fungicides</t>
  </si>
  <si>
    <t>4.3.2 conclude a list of 500 compounds</t>
  </si>
  <si>
    <t>CPB Directors</t>
  </si>
  <si>
    <t>Evogene LTD</t>
  </si>
  <si>
    <t>Ag-Seed</t>
  </si>
  <si>
    <t>DevOps</t>
  </si>
  <si>
    <t>Canonic</t>
  </si>
  <si>
    <t xml:space="preserve">Breeding general </t>
  </si>
  <si>
    <t>Ongoing bioinfo</t>
  </si>
  <si>
    <t>פ</t>
  </si>
  <si>
    <t>CPB</t>
  </si>
  <si>
    <t>CPB projects Computational</t>
  </si>
  <si>
    <t>CPB Upkeep Computational</t>
  </si>
  <si>
    <t>T115 - System Architect</t>
  </si>
  <si>
    <t>T105 - DevOps</t>
  </si>
  <si>
    <t>Biomica</t>
  </si>
  <si>
    <t>Cancer Immun adjuvant</t>
  </si>
  <si>
    <t>1. Lavie Team</t>
  </si>
  <si>
    <t>IBD</t>
  </si>
  <si>
    <t>TcdAB</t>
  </si>
  <si>
    <t>dataset from Sheba-Samples QA</t>
  </si>
  <si>
    <t>dataset from Sheba-PRISM (assembly+refunder+k</t>
  </si>
  <si>
    <t>dataset from Sheba-Metabacum + descriptive st</t>
  </si>
  <si>
    <t>dataset from Sheba-Product  management</t>
  </si>
  <si>
    <t>dataset from public domain #1-Samples QA</t>
  </si>
  <si>
    <t>dataset from public domain #1-PRISM (assembly+refunder+k</t>
  </si>
  <si>
    <t>dataset from public domain #1-Metabacum + descriptive st</t>
  </si>
  <si>
    <t>dataset from public domain #2-Product  management</t>
  </si>
  <si>
    <t>dataset from public domain #2-Samples QA</t>
  </si>
  <si>
    <t>dataset from public domain #2-PRISM (assembly+refunder+k</t>
  </si>
  <si>
    <t>dataset from public domain #2-Metabacum + descriptive st</t>
  </si>
  <si>
    <t>dataset from public domain #3-Product  management</t>
  </si>
  <si>
    <t>dataset with non-illumina technology-Samples QA</t>
  </si>
  <si>
    <t>dataset with non-illumina technology-PRISM (assembly+refunder+k</t>
  </si>
  <si>
    <t>dataset with non-illumina technology-Metabacum + descriptive st</t>
  </si>
  <si>
    <t>dataset with non-illumina technology-Product Management</t>
  </si>
  <si>
    <t>Samples from clinical trial-Samples QA</t>
  </si>
  <si>
    <t>Samples from clinical trial-PRISM (assembly+refunder+k</t>
  </si>
  <si>
    <t>Samples from clinical trial-Metabacum + descriptive st</t>
  </si>
  <si>
    <t>pipeline adjustments for non-illumina data (if needed)-</t>
  </si>
  <si>
    <t>community-level metabolomics predictions -Beta testing availab</t>
  </si>
  <si>
    <t>community-level metabolomics predictions -Map Metaseq to Metag</t>
  </si>
  <si>
    <t>community-level metabolomics predictions -Flux balance anlysis</t>
  </si>
  <si>
    <t>transfer of tool to Biomica/ adjustments WITH UI-Managable script tha</t>
  </si>
  <si>
    <t>transfer of tool to Biomica/ adjustments improved code for indepenant running by an BI-Managable script tha</t>
  </si>
  <si>
    <t>community-level metabolomics predictions -Literature search</t>
  </si>
  <si>
    <t>Q1 Amt</t>
  </si>
  <si>
    <t>Q2 Amt</t>
  </si>
  <si>
    <t>Q3 Amt</t>
  </si>
  <si>
    <t>Q4 Amt</t>
  </si>
  <si>
    <t>Lavie Bio</t>
  </si>
  <si>
    <t>Thrivus</t>
  </si>
  <si>
    <t>Lavie Bio LTD</t>
  </si>
  <si>
    <t>Corteva</t>
  </si>
  <si>
    <t>ICL</t>
  </si>
  <si>
    <t>Lavie_programs</t>
  </si>
  <si>
    <t xml:space="preserve">Product </t>
  </si>
  <si>
    <t>Product-CP</t>
  </si>
  <si>
    <t xml:space="preserve">Product- Upkeep CP </t>
  </si>
  <si>
    <t>CrisprIL_WP1</t>
  </si>
  <si>
    <t>CrisprIL_WP4</t>
  </si>
  <si>
    <t>Product- MB</t>
  </si>
  <si>
    <t xml:space="preserve">Product- Upkeep MB </t>
  </si>
  <si>
    <t>Product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</si>
</sst>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;\(#,##0.00\);\-"/>
    <numFmt numFmtId="165" formatCode="_ * #,##0.00_ ;_ * \-#,##0.00_ ;_ * &quot;-&quot;??_ ;_ @_ "/>
    <numFmt numFmtId="166" formatCode="_ * #,##0_ ;_ * \-#,##0_ ;_ * &quot;-&quot;??_ ;_ @_ "/>
    <numFmt numFmtId="167" formatCode="#,##0;\(#,##0\);\-"/>
    <numFmt numFmtId="168" formatCode="#,##0.000;\(#,##0.000\);\-"/>
  </numFmts>
  <fonts count="20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b/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charset val="177"/>
    </font>
    <font>
      <sz val="11"/>
      <name val="Calibri (Body)"/>
    </font>
    <font>
      <sz val="11"/>
      <color theme="7" tint="-0.249977111117893"/>
      <name val="Calibri"/>
      <family val="2"/>
      <scheme val="minor"/>
    </font>
    <font>
      <strike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5">
    <xf numFmtId="0" fontId="0" fillId="0" borderId="0"/>
    <xf numFmtId="165" fontId="6" fillId="0" borderId="0" applyFont="0" applyFill="0" applyBorder="0" applyAlignment="0" applyProtection="0"/>
    <xf numFmtId="0" fontId="8" fillId="3" borderId="0" applyNumberFormat="0" applyBorder="0" applyAlignment="0" applyProtection="0"/>
    <xf numFmtId="0" fontId="9" fillId="2" borderId="0" applyNumberFormat="0" applyBorder="0" applyAlignment="0" applyProtection="0"/>
    <xf numFmtId="0" fontId="1" fillId="0" borderId="0"/>
  </cellStyleXfs>
  <cellXfs count="134">
    <xf numFmtId="0" fontId="0" fillId="0" borderId="0" xfId="0"/>
    <xf numFmtId="164" fontId="7" fillId="4" borderId="1" xfId="0" applyNumberFormat="1" applyFont="1" applyFill="1" applyBorder="1"/>
    <xf numFmtId="164" fontId="1" fillId="4" borderId="2" xfId="0" applyNumberFormat="1" applyFont="1" applyFill="1" applyBorder="1"/>
    <xf numFmtId="164" fontId="1" fillId="0" borderId="0" xfId="0" applyNumberFormat="1" applyFont="1"/>
    <xf numFmtId="164" fontId="0" fillId="0" borderId="0" xfId="0" applyNumberFormat="1"/>
    <xf numFmtId="164" fontId="7" fillId="0" borderId="0" xfId="0" applyNumberFormat="1" applyFont="1"/>
    <xf numFmtId="14" fontId="1" fillId="0" borderId="0" xfId="0" applyNumberFormat="1" applyFont="1" applyAlignment="1">
      <alignment horizontal="right"/>
    </xf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 applyAlignment="1">
      <alignment horizontal="center"/>
    </xf>
    <xf numFmtId="3" fontId="8" fillId="0" borderId="0" xfId="2" applyNumberFormat="1" applyFill="1" applyAlignment="1">
      <alignment horizontal="center"/>
    </xf>
    <xf numFmtId="164" fontId="3" fillId="0" borderId="0" xfId="0" applyNumberFormat="1" applyFont="1"/>
    <xf numFmtId="166" fontId="9" fillId="2" borderId="0" xfId="1" applyNumberFormat="1" applyFont="1" applyFill="1" applyAlignment="1"/>
    <xf numFmtId="164" fontId="1" fillId="0" borderId="0" xfId="0" applyNumberFormat="1" applyFont="1" applyAlignment="1">
      <alignment horizontal="centerContinuous"/>
    </xf>
    <xf numFmtId="164" fontId="4" fillId="0" borderId="0" xfId="0" applyNumberFormat="1" applyFont="1" applyAlignment="1">
      <alignment horizontal="right"/>
    </xf>
    <xf numFmtId="164" fontId="4" fillId="5" borderId="0" xfId="0" applyNumberFormat="1" applyFont="1" applyFill="1" applyAlignment="1">
      <alignment horizontal="center"/>
    </xf>
    <xf numFmtId="164" fontId="10" fillId="5" borderId="0" xfId="2" applyNumberFormat="1" applyFont="1" applyFill="1" applyAlignment="1">
      <alignment horizontal="center"/>
    </xf>
    <xf numFmtId="164" fontId="4" fillId="5" borderId="0" xfId="0" applyNumberFormat="1" applyFont="1" applyFill="1" applyAlignment="1">
      <alignment horizontal="center" wrapText="1"/>
    </xf>
    <xf numFmtId="164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4" fillId="4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 wrapText="1"/>
    </xf>
    <xf numFmtId="166" fontId="11" fillId="0" borderId="0" xfId="1" applyNumberFormat="1" applyFont="1" applyAlignment="1">
      <alignment horizontal="center"/>
    </xf>
    <xf numFmtId="164" fontId="4" fillId="5" borderId="1" xfId="0" applyNumberFormat="1" applyFont="1" applyFill="1" applyBorder="1" applyAlignment="1">
      <alignment horizontal="centerContinuous"/>
    </xf>
    <xf numFmtId="164" fontId="4" fillId="5" borderId="3" xfId="0" applyNumberFormat="1" applyFont="1" applyFill="1" applyBorder="1" applyAlignment="1">
      <alignment horizontal="centerContinuous"/>
    </xf>
    <xf numFmtId="164" fontId="4" fillId="5" borderId="2" xfId="0" applyNumberFormat="1" applyFont="1" applyFill="1" applyBorder="1" applyAlignment="1">
      <alignment horizontal="centerContinuous"/>
    </xf>
    <xf numFmtId="164" fontId="5" fillId="6" borderId="0" xfId="0" applyNumberFormat="1" applyFont="1" applyFill="1"/>
    <xf numFmtId="164" fontId="2" fillId="6" borderId="0" xfId="0" applyNumberFormat="1" applyFont="1" applyFill="1"/>
    <xf numFmtId="0" fontId="2" fillId="6" borderId="4" xfId="0" applyFont="1" applyFill="1" applyBorder="1" applyAlignment="1">
      <alignment horizontal="center" wrapText="1"/>
    </xf>
    <xf numFmtId="0" fontId="2" fillId="6" borderId="0" xfId="0" applyFont="1" applyFill="1" applyAlignment="1">
      <alignment horizontal="right" wrapText="1"/>
    </xf>
    <xf numFmtId="0" fontId="2" fillId="6" borderId="0" xfId="0" applyFont="1" applyFill="1"/>
    <xf numFmtId="0" fontId="5" fillId="6" borderId="0" xfId="0" applyFont="1" applyFill="1"/>
    <xf numFmtId="14" fontId="5" fillId="6" borderId="0" xfId="0" applyNumberFormat="1" applyFont="1" applyFill="1"/>
    <xf numFmtId="164" fontId="1" fillId="6" borderId="0" xfId="0" applyNumberFormat="1" applyFont="1" applyFill="1" applyAlignment="1">
      <alignment wrapText="1"/>
    </xf>
    <xf numFmtId="164" fontId="1" fillId="6" borderId="0" xfId="0" applyNumberFormat="1" applyFont="1" applyFill="1"/>
    <xf numFmtId="166" fontId="1" fillId="6" borderId="0" xfId="1" applyNumberFormat="1" applyFont="1" applyFill="1"/>
    <xf numFmtId="164" fontId="4" fillId="0" borderId="0" xfId="0" applyNumberFormat="1" applyFont="1" applyAlignment="1">
      <alignment wrapText="1"/>
    </xf>
    <xf numFmtId="164" fontId="4" fillId="0" borderId="0" xfId="0" applyNumberFormat="1" applyFont="1"/>
    <xf numFmtId="164" fontId="4" fillId="6" borderId="0" xfId="0" applyNumberFormat="1" applyFont="1" applyFill="1" applyAlignment="1">
      <alignment wrapText="1"/>
    </xf>
    <xf numFmtId="164" fontId="8" fillId="0" borderId="0" xfId="2" applyNumberFormat="1" applyFill="1" applyAlignment="1"/>
    <xf numFmtId="164" fontId="7" fillId="0" borderId="0" xfId="2" applyNumberFormat="1" applyFont="1" applyFill="1" applyAlignment="1"/>
    <xf numFmtId="164" fontId="1" fillId="0" borderId="0" xfId="0" applyNumberFormat="1" applyFont="1" applyAlignment="1">
      <alignment horizontal="right"/>
    </xf>
    <xf numFmtId="164" fontId="5" fillId="0" borderId="0" xfId="0" applyNumberFormat="1" applyFont="1"/>
    <xf numFmtId="164" fontId="1" fillId="0" borderId="0" xfId="0" applyNumberFormat="1" applyFont="1" applyAlignment="1">
      <alignment wrapText="1"/>
    </xf>
    <xf numFmtId="164" fontId="7" fillId="0" borderId="0" xfId="1" applyNumberFormat="1" applyFont="1" applyFill="1" applyAlignment="1"/>
    <xf numFmtId="0" fontId="7" fillId="0" borderId="0" xfId="0" applyFont="1" applyAlignment="1">
      <alignment horizontal="right"/>
    </xf>
    <xf numFmtId="164" fontId="1" fillId="0" borderId="0" xfId="0" applyNumberFormat="1" applyFont="1" applyAlignment="1">
      <alignment horizontal="left"/>
    </xf>
    <xf numFmtId="164" fontId="7" fillId="0" borderId="0" xfId="0" applyNumberFormat="1" applyFont="1" applyAlignment="1">
      <alignment horizontal="right"/>
    </xf>
    <xf numFmtId="14" fontId="7" fillId="0" borderId="0" xfId="0" applyNumberFormat="1" applyFont="1"/>
    <xf numFmtId="164" fontId="7" fillId="0" borderId="0" xfId="0" applyNumberFormat="1" applyFont="1" applyAlignment="1">
      <alignment wrapText="1"/>
    </xf>
    <xf numFmtId="164" fontId="11" fillId="0" borderId="0" xfId="0" applyNumberFormat="1" applyFont="1" applyAlignment="1">
      <alignment wrapText="1"/>
    </xf>
    <xf numFmtId="164" fontId="7" fillId="0" borderId="0" xfId="0" applyNumberFormat="1" applyFont="1" applyAlignment="1">
      <alignment vertical="top" wrapText="1"/>
    </xf>
    <xf numFmtId="164" fontId="7" fillId="0" borderId="0" xfId="0" applyNumberFormat="1" applyFont="1" applyAlignment="1">
      <alignment vertical="top"/>
    </xf>
    <xf numFmtId="164" fontId="3" fillId="0" borderId="0" xfId="0" applyNumberFormat="1" applyFont="1" applyAlignment="1">
      <alignment vertical="top" wrapText="1"/>
    </xf>
    <xf numFmtId="164" fontId="1" fillId="0" borderId="0" xfId="0" applyNumberFormat="1" applyFont="1" applyAlignment="1">
      <alignment vertical="top"/>
    </xf>
    <xf numFmtId="164" fontId="12" fillId="0" borderId="0" xfId="0" applyNumberFormat="1" applyFont="1"/>
    <xf numFmtId="164" fontId="12" fillId="0" borderId="0" xfId="2" applyNumberFormat="1" applyFont="1" applyFill="1" applyAlignment="1"/>
    <xf numFmtId="164" fontId="12" fillId="0" borderId="0" xfId="0" applyNumberFormat="1" applyFont="1" applyAlignment="1">
      <alignment horizontal="right"/>
    </xf>
    <xf numFmtId="14" fontId="12" fillId="0" borderId="0" xfId="0" applyNumberFormat="1" applyFont="1"/>
    <xf numFmtId="164" fontId="12" fillId="0" borderId="0" xfId="0" applyNumberFormat="1" applyFont="1" applyAlignment="1">
      <alignment wrapText="1"/>
    </xf>
    <xf numFmtId="164" fontId="13" fillId="0" borderId="0" xfId="0" applyNumberFormat="1" applyFont="1" applyAlignment="1">
      <alignment wrapText="1"/>
    </xf>
    <xf numFmtId="164" fontId="7" fillId="7" borderId="0" xfId="0" applyNumberFormat="1" applyFont="1" applyFill="1"/>
    <xf numFmtId="14" fontId="1" fillId="7" borderId="0" xfId="0" applyNumberFormat="1" applyFont="1" applyFill="1"/>
    <xf numFmtId="0" fontId="0" fillId="0" borderId="0" xfId="0" applyAlignment="1">
      <alignment horizontal="right"/>
    </xf>
    <xf numFmtId="166" fontId="1" fillId="0" borderId="0" xfId="1" applyNumberFormat="1" applyFont="1"/>
    <xf numFmtId="164" fontId="7" fillId="4" borderId="0" xfId="0" applyNumberFormat="1" applyFont="1" applyFill="1"/>
    <xf numFmtId="164" fontId="1" fillId="4" borderId="0" xfId="0" applyNumberFormat="1" applyFont="1" applyFill="1"/>
    <xf numFmtId="164" fontId="7" fillId="0" borderId="0" xfId="0" applyNumberFormat="1" applyFont="1" applyFill="1"/>
    <xf numFmtId="164" fontId="1" fillId="0" borderId="0" xfId="0" applyNumberFormat="1" applyFont="1" applyFill="1"/>
    <xf numFmtId="164" fontId="1" fillId="0" borderId="0" xfId="0" applyNumberFormat="1" applyFont="1" applyFill="1" applyAlignment="1">
      <alignment horizontal="right"/>
    </xf>
    <xf numFmtId="164" fontId="7" fillId="0" borderId="0" xfId="0" applyNumberFormat="1" applyFont="1" applyFill="1" applyAlignment="1">
      <alignment vertical="top" wrapText="1"/>
    </xf>
    <xf numFmtId="164" fontId="1" fillId="0" borderId="0" xfId="0" applyNumberFormat="1" applyFont="1" applyFill="1" applyAlignment="1">
      <alignment vertical="top"/>
    </xf>
    <xf numFmtId="14" fontId="1" fillId="0" borderId="0" xfId="0" applyNumberFormat="1" applyFont="1" applyFill="1"/>
    <xf numFmtId="166" fontId="7" fillId="0" borderId="0" xfId="1" applyNumberFormat="1" applyFont="1" applyFill="1"/>
    <xf numFmtId="164" fontId="1" fillId="0" borderId="0" xfId="0" applyNumberFormat="1" applyFont="1" applyFill="1" applyAlignment="1">
      <alignment wrapText="1"/>
    </xf>
    <xf numFmtId="164" fontId="4" fillId="0" borderId="0" xfId="0" applyNumberFormat="1" applyFont="1" applyFill="1" applyAlignment="1">
      <alignment wrapText="1"/>
    </xf>
    <xf numFmtId="164" fontId="5" fillId="0" borderId="0" xfId="0" applyNumberFormat="1" applyFont="1" applyFill="1"/>
    <xf numFmtId="3" fontId="8" fillId="0" borderId="0" xfId="2" applyNumberFormat="1" applyFill="1" applyAlignment="1"/>
    <xf numFmtId="167" fontId="9" fillId="2" borderId="0" xfId="3" applyNumberFormat="1" applyAlignment="1"/>
    <xf numFmtId="164" fontId="11" fillId="0" borderId="0" xfId="0" applyNumberFormat="1" applyFont="1" applyAlignment="1">
      <alignment horizontal="center"/>
    </xf>
    <xf numFmtId="0" fontId="0" fillId="0" borderId="0" xfId="0" applyAlignment="1">
      <alignment horizontal="left" indent="1"/>
    </xf>
    <xf numFmtId="164" fontId="0" fillId="4" borderId="0" xfId="0" applyNumberFormat="1" applyFill="1"/>
    <xf numFmtId="0" fontId="7" fillId="0" borderId="0" xfId="0" applyFont="1" applyFill="1" applyAlignment="1">
      <alignment horizontal="right"/>
    </xf>
    <xf numFmtId="164" fontId="4" fillId="0" borderId="0" xfId="0" applyNumberFormat="1" applyFont="1" applyFill="1"/>
    <xf numFmtId="164" fontId="0" fillId="0" borderId="0" xfId="0" applyNumberFormat="1" applyFill="1"/>
    <xf numFmtId="0" fontId="7" fillId="0" borderId="0" xfId="0" applyFont="1"/>
    <xf numFmtId="0" fontId="2" fillId="6" borderId="0" xfId="0" applyFont="1" applyFill="1" applyAlignment="1">
      <alignment horizontal="center" wrapText="1"/>
    </xf>
    <xf numFmtId="0" fontId="7" fillId="6" borderId="0" xfId="0" applyFont="1" applyFill="1"/>
    <xf numFmtId="164" fontId="7" fillId="0" borderId="4" xfId="0" applyNumberFormat="1" applyFont="1" applyBorder="1"/>
    <xf numFmtId="164" fontId="1" fillId="0" borderId="4" xfId="0" applyNumberFormat="1" applyFont="1" applyBorder="1" applyAlignment="1">
      <alignment wrapText="1"/>
    </xf>
    <xf numFmtId="164" fontId="1" fillId="0" borderId="5" xfId="0" applyNumberFormat="1" applyFont="1" applyBorder="1" applyAlignment="1">
      <alignment wrapText="1"/>
    </xf>
    <xf numFmtId="164" fontId="1" fillId="0" borderId="0" xfId="0" applyNumberFormat="1" applyFont="1" applyFill="1" applyAlignment="1">
      <alignment horizontal="left"/>
    </xf>
    <xf numFmtId="14" fontId="1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7" fillId="0" borderId="0" xfId="0" applyNumberFormat="1" applyFont="1" applyFill="1" applyAlignment="1">
      <alignment vertical="top"/>
    </xf>
    <xf numFmtId="14" fontId="5" fillId="0" borderId="0" xfId="0" applyNumberFormat="1" applyFont="1"/>
    <xf numFmtId="164" fontId="8" fillId="0" borderId="0" xfId="0" applyNumberFormat="1" applyFont="1"/>
    <xf numFmtId="164" fontId="8" fillId="4" borderId="0" xfId="0" applyNumberFormat="1" applyFont="1" applyFill="1"/>
    <xf numFmtId="164" fontId="7" fillId="4" borderId="6" xfId="0" applyNumberFormat="1" applyFont="1" applyFill="1" applyBorder="1"/>
    <xf numFmtId="164" fontId="1" fillId="4" borderId="6" xfId="0" applyNumberFormat="1" applyFont="1" applyFill="1" applyBorder="1" applyAlignment="1">
      <alignment wrapText="1"/>
    </xf>
    <xf numFmtId="164" fontId="1" fillId="4" borderId="7" xfId="0" applyNumberFormat="1" applyFont="1" applyFill="1" applyBorder="1" applyAlignment="1">
      <alignment wrapText="1"/>
    </xf>
    <xf numFmtId="0" fontId="16" fillId="0" borderId="0" xfId="0" applyFont="1" applyFill="1"/>
    <xf numFmtId="0" fontId="4" fillId="0" borderId="0" xfId="0" applyFont="1" applyAlignment="1">
      <alignment horizontal="center"/>
    </xf>
    <xf numFmtId="164" fontId="4" fillId="5" borderId="0" xfId="0" applyNumberFormat="1" applyFont="1" applyFill="1" applyAlignment="1">
      <alignment horizontal="center"/>
    </xf>
    <xf numFmtId="164" fontId="5" fillId="6" borderId="0" xfId="0" applyNumberFormat="1" applyFont="1" applyFill="1" applyAlignment="1">
      <alignment horizontal="center" vertical="center" wrapText="1"/>
    </xf>
    <xf numFmtId="164" fontId="2" fillId="6" borderId="0" xfId="0" applyNumberFormat="1" applyFont="1" applyFill="1" applyAlignment="1">
      <alignment horizontal="center" vertical="center" wrapText="1"/>
    </xf>
    <xf numFmtId="14" fontId="5" fillId="6" borderId="0" xfId="0" applyNumberFormat="1" applyFont="1" applyFill="1" applyAlignment="1">
      <alignment horizontal="center" vertical="center" wrapText="1"/>
    </xf>
    <xf numFmtId="164" fontId="1" fillId="6" borderId="0" xfId="0" applyNumberFormat="1" applyFont="1" applyFill="1" applyAlignment="1">
      <alignment horizontal="center" vertical="center" wrapText="1"/>
    </xf>
    <xf numFmtId="164" fontId="4" fillId="6" borderId="0" xfId="0" applyNumberFormat="1" applyFont="1" applyFill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164" fontId="17" fillId="0" borderId="0" xfId="2" applyNumberFormat="1" applyFont="1" applyFill="1" applyAlignment="1"/>
    <xf numFmtId="164" fontId="18" fillId="0" borderId="0" xfId="0" applyNumberFormat="1" applyFont="1"/>
    <xf numFmtId="164" fontId="19" fillId="0" borderId="0" xfId="0" applyNumberFormat="1" applyFont="1"/>
    <xf numFmtId="0" fontId="19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168" fontId="1" fillId="0" borderId="0" xfId="0" applyNumberFormat="1" applyFont="1"/>
    <xf numFmtId="165" fontId="7" fillId="0" borderId="0" xfId="1" applyFont="1" applyAlignment="1"/>
    <xf numFmtId="0" fontId="7" fillId="0" borderId="4" xfId="0" applyFont="1" applyBorder="1" applyAlignment="1">
      <alignment wrapText="1"/>
    </xf>
    <xf numFmtId="0" fontId="7" fillId="0" borderId="0" xfId="0" applyFont="1" applyFill="1"/>
    <xf numFmtId="164" fontId="7" fillId="0" borderId="1" xfId="0" applyNumberFormat="1" applyFont="1" applyBorder="1"/>
    <xf numFmtId="164" fontId="1" fillId="0" borderId="2" xfId="0" applyNumberFormat="1" applyFont="1" applyBorder="1"/>
    <xf numFmtId="167" fontId="9" fillId="0" borderId="0" xfId="3" applyNumberFormat="1" applyFill="1" applyAlignment="1"/>
    <xf numFmtId="164" fontId="10" fillId="0" borderId="0" xfId="2" applyNumberFormat="1" applyFont="1" applyFill="1" applyAlignment="1">
      <alignment horizontal="center"/>
    </xf>
    <xf numFmtId="164" fontId="4" fillId="0" borderId="1" xfId="0" applyNumberFormat="1" applyFont="1" applyBorder="1" applyAlignment="1">
      <alignment horizontal="centerContinuous"/>
    </xf>
    <xf numFmtId="164" fontId="4" fillId="0" borderId="3" xfId="0" applyNumberFormat="1" applyFont="1" applyBorder="1" applyAlignment="1">
      <alignment horizontal="centerContinuous"/>
    </xf>
    <xf numFmtId="164" fontId="4" fillId="0" borderId="2" xfId="0" applyNumberFormat="1" applyFont="1" applyBorder="1" applyAlignment="1">
      <alignment horizontal="centerContinuous"/>
    </xf>
    <xf numFmtId="164" fontId="2" fillId="0" borderId="0" xfId="0" applyNumberFormat="1" applyFont="1"/>
    <xf numFmtId="0" fontId="2" fillId="0" borderId="4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5" fillId="0" borderId="0" xfId="0" applyFont="1"/>
    <xf numFmtId="165" fontId="7" fillId="0" borderId="0" xfId="1" applyFont="1" applyFill="1" applyAlignment="1"/>
    <xf numFmtId="0" fontId="19" fillId="0" borderId="0" xfId="0" applyFont="1"/>
  </cellXfs>
  <cellStyles count="5">
    <cellStyle name="Comma" xfId="1" builtinId="3"/>
    <cellStyle name="Good 2" xfId="3" xr:uid="{9415323D-73E5-4F61-96CB-3E39EEA6D9CA}"/>
    <cellStyle name="Neutral" xfId="2" builtinId="28"/>
    <cellStyle name="Normal" xfId="0" builtinId="0"/>
    <cellStyle name="Normal 8" xfId="4" xr:uid="{92C4E694-01BA-48F6-AF62-146C441F5DE3}"/>
  </cellStyles>
  <dxfs count="8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;\(#,##0.00\);\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;\(#,##0.00\);\-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;\(#,##0.00\);\-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;\(#,##0.00\);\-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numFmt numFmtId="164" formatCode="#,##0.00;\(#,##0.00\);\-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numFmt numFmtId="164" formatCode="#,##0.00;\(#,##0.00\);\-"/>
    </dxf>
    <dxf>
      <font>
        <b val="0"/>
      </font>
      <numFmt numFmtId="19" formatCode="dd/mm/yyyy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</dxf>
    <dxf>
      <font>
        <b val="0"/>
      </font>
      <numFmt numFmtId="19" formatCode="dd/mm/yyyy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164" formatCode="#,##0.00;\(#,##0.00\);\-"/>
    </dxf>
    <dxf>
      <font>
        <b val="0"/>
        <color auto="1"/>
      </font>
      <numFmt numFmtId="164" formatCode="#,##0.00;\(#,##0.00\);\-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,##0.00;\(#,##0.00\);\-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</dxf>
    <dxf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numFmt numFmtId="164" formatCode="#,##0.00;\(#,##0.00\);\-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family val="2"/>
        <charset val="177"/>
        <scheme val="minor"/>
      </font>
      <numFmt numFmtId="164" formatCode="#,##0.00;\(#,##0.00\);\-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</dxf>
    <dxf>
      <numFmt numFmtId="164" formatCode="#,##0.00;\(#,##0.00\);\-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  <fill>
        <patternFill patternType="solid">
          <fgColor indexed="64"/>
          <bgColor theme="5" tint="0.79998168889431442"/>
        </patternFill>
      </fill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</font>
      <numFmt numFmtId="19" formatCode="dd/mm/yyyy"/>
      <fill>
        <patternFill patternType="solid">
          <fgColor indexed="64"/>
          <bgColor theme="5" tint="0.79998168889431442"/>
        </patternFill>
      </fill>
      <alignment vertical="bottom" textRotation="0" wrapText="0" indent="0" justifyLastLine="0" shrinkToFit="0" readingOrder="0"/>
    </dxf>
    <dxf>
      <font>
        <b val="0"/>
      </font>
      <numFmt numFmtId="19" formatCode="dd/mm/yyyy"/>
      <fill>
        <patternFill patternType="solid">
          <fgColor indexed="64"/>
          <bgColor theme="5" tint="0.79998168889431442"/>
        </patternFill>
      </fill>
      <alignment vertical="bottom" textRotation="0" wrapText="0" indent="0" justifyLastLine="0" shrinkToFit="0" readingOrder="0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</font>
      <numFmt numFmtId="164" formatCode="#,##0.00;\(#,##0.00\);\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</font>
      <numFmt numFmtId="164" formatCode="#,##0.00;\(#,##0.00\);\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color auto="1"/>
      </font>
      <numFmt numFmtId="164" formatCode="#,##0.00;\(#,##0.00\);\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  <alignment vertical="bottom" textRotation="0" wrapText="0" indent="0" justifyLastLine="0" shrinkToFit="0" readingOrder="0"/>
    </dxf>
    <dxf>
      <font>
        <b val="0"/>
      </font>
      <numFmt numFmtId="164" formatCode="#,##0.00;\(#,##0.00\);\-"/>
      <fill>
        <patternFill patternType="none">
          <fgColor indexed="64"/>
          <bgColor indexed="65"/>
        </patternFill>
      </fill>
      <alignment vertical="bottom" textRotation="0" wrapText="0" indent="0" justifyLastLine="0" shrinkToFit="0" readingOrder="0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  <fill>
        <patternFill patternType="solid">
          <fgColor indexed="64"/>
          <bgColor theme="5" tint="0.79998168889431442"/>
        </patternFill>
      </fill>
      <alignment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;\(#,##0.00\);\-"/>
      <fill>
        <patternFill patternType="solid">
          <fgColor indexed="64"/>
          <bgColor theme="4" tint="-0.249977111117893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,##0.00;\(#,##0.00\);\-"/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>
          <fgColor indexed="64"/>
          <bgColor rgb="FFFFFF00"/>
        </patternFill>
      </fill>
    </dxf>
    <dxf>
      <numFmt numFmtId="164" formatCode="#,##0.00;\(#,##0.00\);\-"/>
      <fill>
        <patternFill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,##0.00;\(#,##0.00\);\-"/>
      <fill>
        <patternFill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,##0.00;\(#,##0.00\);\-"/>
      <fill>
        <patternFill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,##0.00;\(#,##0.00\);\-"/>
      <fill>
        <patternFill>
          <fgColor indexed="64"/>
          <bgColor rgb="FFFFFF00"/>
        </patternFill>
      </fill>
    </dxf>
    <dxf>
      <numFmt numFmtId="164" formatCode="#,##0.00;\(#,##0.00\);\-"/>
      <fill>
        <patternFill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,##0.00;\(#,##0.00\);\-"/>
      <fill>
        <patternFill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family val="2"/>
        <charset val="177"/>
        <scheme val="minor"/>
      </font>
      <numFmt numFmtId="164" formatCode="#,##0.00;\(#,##0.00\);\-"/>
      <fill>
        <patternFill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,##0.00;\(#,##0.00\);\-"/>
      <fill>
        <patternFill patternType="solid">
          <fgColor indexed="64"/>
          <bgColor rgb="FFFFFF00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  <fill>
        <patternFill patternType="solid">
          <fgColor indexed="64"/>
          <bgColor theme="5" tint="0.79998168889431442"/>
        </patternFill>
      </fill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numFmt numFmtId="164" formatCode="#,##0.00;\(#,##0.00\);\-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numFmt numFmtId="164" formatCode="#,##0.00;\(#,##0.00\);\-"/>
    </dxf>
    <dxf>
      <font>
        <b val="0"/>
      </font>
      <numFmt numFmtId="19" formatCode="dd/mm/yyyy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</dxf>
    <dxf>
      <font>
        <b val="0"/>
      </font>
      <numFmt numFmtId="19" formatCode="dd/mm/yyyy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,##0.00;\(#,##0.00\);\-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,##0.00;\(#,##0.00\);\-"/>
    </dxf>
    <dxf>
      <font>
        <b val="0"/>
      </font>
      <numFmt numFmtId="164" formatCode="#,##0.00;\(#,##0.00\);\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</font>
      <numFmt numFmtId="164" formatCode="#,##0.00;\(#,##0.00\);\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color auto="1"/>
      </font>
      <numFmt numFmtId="164" formatCode="#,##0.00;\(#,##0.00\);\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  <alignment vertical="bottom" textRotation="0" wrapText="0" indent="0" justifyLastLine="0" shrinkToFit="0" readingOrder="0"/>
    </dxf>
    <dxf>
      <font>
        <b val="0"/>
      </font>
      <numFmt numFmtId="164" formatCode="#,##0.00;\(#,##0.00\);\-"/>
      <fill>
        <patternFill patternType="none">
          <fgColor indexed="64"/>
          <bgColor indexed="65"/>
        </patternFill>
      </fill>
      <alignment vertical="bottom" textRotation="0" wrapText="0" indent="0" justifyLastLine="0" shrinkToFit="0" readingOrder="0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  <fill>
        <patternFill patternType="solid">
          <fgColor indexed="64"/>
          <bgColor theme="5" tint="0.79998168889431442"/>
        </patternFill>
      </fill>
      <alignment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;\(#,##0.00\);\-"/>
      <fill>
        <patternFill patternType="solid">
          <fgColor indexed="64"/>
          <bgColor theme="4" tint="-0.249977111117893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</font>
      <numFmt numFmtId="19" formatCode="dd/mm/yyyy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</font>
      <numFmt numFmtId="19" formatCode="dd/mm/yyyy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color auto="1"/>
      </font>
      <numFmt numFmtId="164" formatCode="#,##0.00;\(#,##0.00\);\-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;\(#,##0.00\);\-"/>
      <fill>
        <patternFill patternType="solid">
          <fgColor indexed="64"/>
          <bgColor theme="4" tint="-0.249977111117893"/>
        </patternFill>
      </fill>
      <alignment horizontal="general" vertical="bottom" textRotation="0" wrapText="1" indent="0" justifyLastLine="0" shrinkToFit="0" readingOrder="0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</font>
      <numFmt numFmtId="19" formatCode="dd/mm/yyyy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</font>
      <numFmt numFmtId="19" formatCode="dd/mm/yyyy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color auto="1"/>
      </font>
      <numFmt numFmtId="164" formatCode="#,##0.00;\(#,##0.00\);\-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;\(#,##0.00\);\-"/>
      <fill>
        <patternFill patternType="solid">
          <fgColor indexed="64"/>
          <bgColor theme="4" tint="-0.249977111117893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</font>
      <numFmt numFmtId="19" formatCode="dd/mm/yyyy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</font>
      <numFmt numFmtId="19" formatCode="dd/mm/yyyy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color auto="1"/>
      </font>
      <numFmt numFmtId="164" formatCode="#,##0.00;\(#,##0.00\);\-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;\(#,##0.00\);\-"/>
      <fill>
        <patternFill patternType="solid">
          <fgColor indexed="64"/>
          <bgColor theme="4" tint="-0.249977111117893"/>
        </patternFill>
      </fill>
      <alignment horizontal="general" vertical="bottom" textRotation="0" wrapText="1" indent="0" justifyLastLine="0" shrinkToFit="0" readingOrder="0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  <fill>
        <patternFill patternType="solid">
          <fgColor indexed="64"/>
          <bgColor theme="5" tint="0.79998168889431442"/>
        </patternFill>
      </fill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</font>
      <numFmt numFmtId="19" formatCode="dd/mm/yyyy"/>
      <fill>
        <patternFill patternType="solid">
          <fgColor indexed="64"/>
          <bgColor theme="5" tint="0.79998168889431442"/>
        </patternFill>
      </fill>
      <alignment vertical="bottom" textRotation="0" wrapText="0" indent="0" justifyLastLine="0" shrinkToFit="0" readingOrder="0"/>
    </dxf>
    <dxf>
      <font>
        <b val="0"/>
      </font>
      <numFmt numFmtId="19" formatCode="dd/mm/yyyy"/>
      <fill>
        <patternFill patternType="solid">
          <fgColor indexed="64"/>
          <bgColor theme="5" tint="0.79998168889431442"/>
        </patternFill>
      </fill>
      <alignment vertical="bottom" textRotation="0" wrapText="0" indent="0" justifyLastLine="0" shrinkToFit="0" readingOrder="0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</font>
      <numFmt numFmtId="164" formatCode="#,##0.00;\(#,##0.00\);\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</font>
      <numFmt numFmtId="164" formatCode="#,##0.00;\(#,##0.00\);\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color auto="1"/>
      </font>
      <numFmt numFmtId="164" formatCode="#,##0.00;\(#,##0.00\);\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  <alignment vertical="bottom" textRotation="0" wrapText="0" indent="0" justifyLastLine="0" shrinkToFit="0" readingOrder="0"/>
    </dxf>
    <dxf>
      <font>
        <b val="0"/>
      </font>
      <numFmt numFmtId="164" formatCode="#,##0.00;\(#,##0.00\);\-"/>
      <fill>
        <patternFill patternType="none">
          <fgColor indexed="64"/>
          <bgColor indexed="65"/>
        </patternFill>
      </fill>
      <alignment vertical="bottom" textRotation="0" wrapText="0" indent="0" justifyLastLine="0" shrinkToFit="0" readingOrder="0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  <fill>
        <patternFill patternType="solid">
          <fgColor indexed="64"/>
          <bgColor theme="5" tint="0.79998168889431442"/>
        </patternFill>
      </fill>
      <alignment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;\(#,##0.00\);\-"/>
      <fill>
        <patternFill patternType="solid">
          <fgColor indexed="64"/>
          <bgColor theme="4" tint="-0.249977111117893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 * #,##0_ ;_ * \-#,##0_ ;_ * &quot;-&quot;??_ ;_ @_ 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</font>
      <numFmt numFmtId="19" formatCode="dd/mm/yyyy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</font>
      <numFmt numFmtId="19" formatCode="dd/mm/yyyy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color auto="1"/>
      </font>
      <numFmt numFmtId="164" formatCode="#,##0.00;\(#,##0.00\);\-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  <fill>
        <patternFill patternType="solid">
          <fgColor indexed="64"/>
          <bgColor theme="5" tint="0.7999816888943144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5" tint="0.7999816888943144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5" tint="0.7999816888943144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4" formatCode="#,##0.00;\(#,##0.00\);\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family val="2"/>
        <charset val="177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;\(#,##0.00\);\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;\(#,##0.00\);\-"/>
      <fill>
        <patternFill patternType="solid">
          <fgColor indexed="64"/>
          <bgColor theme="5" tint="0.79998168889431442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;\(#,##0.00\);\-"/>
      <fill>
        <patternFill patternType="solid">
          <fgColor indexed="64"/>
          <bgColor theme="4" tint="-0.249977111117893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9" Type="http://schemas.openxmlformats.org/officeDocument/2006/relationships/externalLink" Target="externalLinks/externalLink31.xml"/><Relationship Id="rId21" Type="http://schemas.openxmlformats.org/officeDocument/2006/relationships/externalLink" Target="externalLinks/externalLink13.xml"/><Relationship Id="rId34" Type="http://schemas.openxmlformats.org/officeDocument/2006/relationships/externalLink" Target="externalLinks/externalLink26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1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40" Type="http://schemas.openxmlformats.org/officeDocument/2006/relationships/externalLink" Target="externalLinks/externalLink3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31" Type="http://schemas.openxmlformats.org/officeDocument/2006/relationships/externalLink" Target="externalLinks/externalLink23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K:\corporate_new\Finance\Director\Budget\Budget%202023\SOW\Department%20files\2023%20SOW%20-%20AgPlenus%20ver%209.xlsx" TargetMode="External"/><Relationship Id="rId1" Type="http://schemas.openxmlformats.org/officeDocument/2006/relationships/externalLinkPath" Target="2023%20SOW%20-%20AgPlenus%20ver%209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BOS2GTSFP01\CVC_BOS2_GRP\Clients\SSG\Drafts\SSG.TINSLEY%20Draft%20model%2003.11.0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I:\K:\corporate_new\Finance\Director\Budget\Budget%202018\Budget%20-%20BOD\2018%20Budget%20-%20Approved%20by%20the%20BOD%20(Dont%20change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BOS2GTSFP01\CVC_BOS2_GRP\FAS\VAL\VSG\Koz.com\Draft%20Market%20Model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MCM%20Model02_021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BOS2GTSFP01\CVC_BOS2_GRP\DOCUME~1\TBRISS~1\LOCALS~1\Temp\Simulation_Exhibit%20V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_new/Finance/Director/Budget/Budget%202018/Budget%20-%20BOD/2018%20Budget%20-%20Approved%20by%20the%20BOD%20(Dont%20change)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mirw\AppData\Local\Microsoft\Windows\INetCache\Content.Outlook\QQQ9T9F3\IMAmt%20budget%202018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BOS2GTSFP01\CVC_BOS2_GRP\TAX\VAL\VSG\Project%20Alpha\market%20approach\MCM%20Model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BOS2GTSFP01\CVC_BOS2_GRP\DOCUME~1\TBRISS~1\LOCALS~1\Temp\MMSC_Exhibits%20I-III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BOS2GTSFP01\CVC_BOS2_GRP\DOCUME~1\TBRISS~1\LOCALS~1\Temp\Simulation_Exhibits%20I-II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VALUE\CLIENTS\WELLSTAR\Nicholson\value3.xls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K:\corporate_new\Finance\Director\Budget\Budget%202023\SOW\Department%20files\2023%20SOW%20-%20Agseed%20.xlsx" TargetMode="External"/><Relationship Id="rId1" Type="http://schemas.openxmlformats.org/officeDocument/2006/relationships/externalLinkPath" Target="2023%20SOW%20-%20Agseed%20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K:\corporate_new\Finance\Director\Budget\Budget%202023\SOW\Department%20files\2023%20SOW%20-%20Canonic%20ver%208.xlsx" TargetMode="External"/><Relationship Id="rId1" Type="http://schemas.openxmlformats.org/officeDocument/2006/relationships/externalLinkPath" Target="2023%20SOW%20-%20Canonic%20ver%208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machova\Dropbox\HCL%20Cleantech\Accounting%20MEC\2011\HCL%2001.2011\Board%20Package\Financials\HCL%20Israel%20%20-%2001.2011%20-%20Financial%20Statements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machova\Dropbox\HCL%20Cleantech\Accounting%20MEC\2011\HCL%2008.2011\Board%20Package\Financials\HCL%20-%2008.2011%20-%20Financial%20Statements%20-%20LTD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K:\corporate_new\Finance\Director\Budget\Budget%202023\SOW\Department%20files\2023%20SOW%20-%20Casterra%20V2.xlsx" TargetMode="External"/><Relationship Id="rId1" Type="http://schemas.openxmlformats.org/officeDocument/2006/relationships/externalLinkPath" Target="2023%20SOW%20-%20Casterra%20V2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_new/Finance/Director/Budget/Budget%202023/SOW/SOW%20Corporate/2023%20SOW%20-%20Finance%20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_new/Finance/Director/Budget/Budget%202023/Rolls/Evogene_Roles_2023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RnD_Support/IT&amp;DM/Management/Budget/2019/Planning_2020/Copy%20of%20Systems%20%20pipelines%20prep%20for%202020-17_11_19-v2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K:\corporate_new\Finance\Director\Budget\Budget%202023\SOW\Department%20files\2023%20SOW%20-%20CPB%20-%20V1.xlsx" TargetMode="External"/><Relationship Id="rId1" Type="http://schemas.openxmlformats.org/officeDocument/2006/relationships/externalLinkPath" Target="2023%20SOW%20-%20CPB%20-%20V1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K:\corporate_new\Finance\Director\Budget\Budget%202023\SOW\Department%20files\Biomica%202023%20SOW%20ver%208.xlsx" TargetMode="External"/><Relationship Id="rId1" Type="http://schemas.openxmlformats.org/officeDocument/2006/relationships/externalLinkPath" Target="Biomica%202023%20SOW%20ver%20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bosdmc02\cvcboston\DATA\VSGSHARE\Bausch&amp;Lomb_Chiron-Storz\Storz\clients4.xls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K:\corporate_new\Finance\Director\Budget\Budget%202023\SOW\Department%20files\2023%20SOW%20-%20Lavie%20Bio%20-%2024.xlsx" TargetMode="External"/><Relationship Id="rId1" Type="http://schemas.openxmlformats.org/officeDocument/2006/relationships/externalLinkPath" Target="2023%20SOW%20-%20Lavie%20Bio%20-%2024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danl\Desktop\Copy%20of%20Lavie%20bio%20LTD%20budget%202023%20external%20with%20budget%20owner.xlsx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K:\corporate_new\Finance\Director\Budget\Budget%202023\SOW\Department%20files\2023%20SOW%20-%20Product%20ver%204.xlsx" TargetMode="External"/><Relationship Id="rId1" Type="http://schemas.openxmlformats.org/officeDocument/2006/relationships/externalLinkPath" Target="2023%20SOW%20-%20Product%20ver%20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ariance\projects\2003\baran\Variance\Projects\Baran\FINAL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bosdmc02\cvcboston\1Carlton\1Carlton\z-Hq\misc\01-10-01%20all%20hands%20meeting%20spdsh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bosdmc02\cvcboston\Clients\CRL\PAI\Draft%20Sierra%20PPA%2012229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BOS2GTSFP01\CVC_BOS2_GRP\TAX\VAL\VSG\LIMITED\Engag%237(DHC%20updates)\DHC%20Updates\Expressco\Exp_Royalty_Analysi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vig\Local%20Settings\Temporary%20Internet%20Files\Content.Outlook\ULSK061X\Copy%20of%20Budget%202015%20Input%20file%20Platform%20(05%2011%2014)%20v0%202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vo.corp\public\Project_Management\_PM_Management\Pro_General\Management\Budget%202017\CP%20internal%20files\2017_budget_CP-%20AH%20V4%20for%20platforme%20from%20Arnon%2001.08.2016_alin240816%20B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&amp;L"/>
      <sheetName val="Pivot 2"/>
      <sheetName val="Pivot 1"/>
      <sheetName val="task unit pivot"/>
      <sheetName val="SOW"/>
      <sheetName val="Sheet1"/>
      <sheetName val="Parameters"/>
      <sheetName val="AgPlenus rev"/>
      <sheetName val="2022-2023 Topdown"/>
      <sheetName val="2023 Goals"/>
      <sheetName val="P&amp;L "/>
      <sheetName val="P&amp;L expense type"/>
      <sheetName val="Projects"/>
      <sheetName val="Targets "/>
      <sheetName val="CPB (FTE) (2)"/>
      <sheetName val="CPB(cost)"/>
      <sheetName val="Expenses"/>
      <sheetName val="ESOP &amp; SCUB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>
        <row r="1">
          <cell r="B1" t="str">
            <v>DepartmentNo.</v>
          </cell>
          <cell r="C1" t="str">
            <v>Department Name</v>
          </cell>
          <cell r="P1" t="str">
            <v>ProjectName</v>
          </cell>
          <cell r="Q1" t="str">
            <v>ProjectFull</v>
          </cell>
          <cell r="R1" t="str">
            <v>Default Division</v>
          </cell>
          <cell r="S1" t="str">
            <v>ProjectNum</v>
          </cell>
          <cell r="U1" t="str">
            <v>Prefix</v>
          </cell>
          <cell r="V1" t="str">
            <v>Division</v>
          </cell>
          <cell r="BN1" t="str">
            <v>Ending</v>
          </cell>
          <cell r="BO1" t="str">
            <v>Task Description</v>
          </cell>
          <cell r="BP1" t="str">
            <v>Credit Budget</v>
          </cell>
          <cell r="BQ1" t="str">
            <v>Unit Description</v>
          </cell>
          <cell r="BR1" t="str">
            <v>Cost Department</v>
          </cell>
          <cell r="BS1" t="str">
            <v>Defalut Credit Prefix</v>
          </cell>
          <cell r="BT1" t="str">
            <v>Ending Type</v>
          </cell>
          <cell r="BU1" t="str">
            <v>Ending Group</v>
          </cell>
          <cell r="BV1" t="str">
            <v>Recognition Type</v>
          </cell>
          <cell r="BW1" t="str">
            <v>Cost Per unit</v>
          </cell>
          <cell r="CG1" t="str">
            <v>FinReport</v>
          </cell>
          <cell r="CH1" t="str">
            <v>Code</v>
          </cell>
        </row>
        <row r="2">
          <cell r="B2">
            <v>304</v>
          </cell>
          <cell r="C2" t="str">
            <v>Ag-Seed</v>
          </cell>
          <cell r="P2" t="str">
            <v>agPlenus Tech</v>
          </cell>
          <cell r="Q2" t="str">
            <v>P21 - agPlenus Tech</v>
          </cell>
          <cell r="R2" t="str">
            <v>AgPlenus</v>
          </cell>
          <cell r="S2" t="str">
            <v>P21</v>
          </cell>
          <cell r="U2" t="str">
            <v>B10</v>
          </cell>
          <cell r="V2" t="str">
            <v>AgPlenus</v>
          </cell>
          <cell r="AH2">
            <v>3.4</v>
          </cell>
          <cell r="AI2">
            <v>3.4</v>
          </cell>
          <cell r="AJ2">
            <v>3.4</v>
          </cell>
          <cell r="AK2">
            <v>3.4</v>
          </cell>
          <cell r="AL2">
            <v>3.4</v>
          </cell>
          <cell r="AM2">
            <v>3.4</v>
          </cell>
          <cell r="AN2">
            <v>3.4</v>
          </cell>
          <cell r="AO2">
            <v>3.4</v>
          </cell>
          <cell r="AP2">
            <v>3.4</v>
          </cell>
          <cell r="AQ2">
            <v>3.4</v>
          </cell>
          <cell r="AR2">
            <v>3.4</v>
          </cell>
          <cell r="AS2">
            <v>3.4</v>
          </cell>
          <cell r="BN2" t="str">
            <v>E000 - Salary</v>
          </cell>
          <cell r="BT2" t="str">
            <v>Salary</v>
          </cell>
          <cell r="BU2" t="str">
            <v>Salary</v>
          </cell>
          <cell r="BW2">
            <v>0</v>
          </cell>
          <cell r="CG2" t="str">
            <v>Revenues</v>
          </cell>
          <cell r="CH2" t="str">
            <v>00</v>
          </cell>
          <cell r="CQ2" t="str">
            <v>Department number</v>
          </cell>
          <cell r="CR2" t="str">
            <v>Department</v>
          </cell>
          <cell r="CS2" t="str">
            <v>הגדרת תפקיד</v>
          </cell>
          <cell r="CT2" t="str">
            <v xml:space="preserve">שם פרטי </v>
          </cell>
          <cell r="CU2" t="str">
            <v xml:space="preserve">שם משפחה </v>
          </cell>
          <cell r="CV2" t="str">
            <v>ינואר</v>
          </cell>
          <cell r="CW2" t="str">
            <v>פברואר</v>
          </cell>
          <cell r="CX2" t="str">
            <v>מרץ</v>
          </cell>
          <cell r="CY2" t="str">
            <v>אפריל</v>
          </cell>
          <cell r="CZ2" t="str">
            <v>מאי</v>
          </cell>
          <cell r="DA2" t="str">
            <v>יוני</v>
          </cell>
          <cell r="DB2" t="str">
            <v>יולי</v>
          </cell>
          <cell r="DC2" t="str">
            <v>אוגוסט</v>
          </cell>
          <cell r="DD2" t="str">
            <v>ספטמבר</v>
          </cell>
          <cell r="DE2" t="str">
            <v>אוקטובר</v>
          </cell>
          <cell r="DF2" t="str">
            <v>נובמבר</v>
          </cell>
          <cell r="DG2" t="str">
            <v>דצמבר</v>
          </cell>
          <cell r="DH2" t="str">
            <v>סה"כ שנתי  - NIS</v>
          </cell>
        </row>
        <row r="3">
          <cell r="B3">
            <v>302</v>
          </cell>
          <cell r="C3" t="str">
            <v>Ag-Seed BD</v>
          </cell>
          <cell r="P3" t="str">
            <v>Herbicides Corteva</v>
          </cell>
          <cell r="Q3" t="str">
            <v>P210 - Herbicides Corteva</v>
          </cell>
          <cell r="R3" t="str">
            <v>AgPlenus</v>
          </cell>
          <cell r="S3" t="str">
            <v>P210</v>
          </cell>
          <cell r="U3" t="str">
            <v>B20</v>
          </cell>
          <cell r="V3" t="str">
            <v>Lavie Bio</v>
          </cell>
          <cell r="BN3" t="str">
            <v xml:space="preserve">E301 - Capped Patent </v>
          </cell>
          <cell r="BT3" t="str">
            <v>External</v>
          </cell>
          <cell r="BU3" t="str">
            <v>External</v>
          </cell>
          <cell r="BW3">
            <v>0</v>
          </cell>
          <cell r="CG3" t="str">
            <v>COGS</v>
          </cell>
          <cell r="CH3" t="str">
            <v>10</v>
          </cell>
          <cell r="CQ3">
            <v>205</v>
          </cell>
          <cell r="CR3" t="str">
            <v>AgPlenus RD</v>
          </cell>
          <cell r="CS3" t="str">
            <v>Computational Chemistry  Team Leader</v>
          </cell>
          <cell r="CT3" t="str">
            <v>אפרת</v>
          </cell>
          <cell r="CU3" t="str">
            <v>אקסלרוד(נוי)</v>
          </cell>
          <cell r="CV3">
            <v>29812.710515000774</v>
          </cell>
          <cell r="CW3">
            <v>29812.710515000774</v>
          </cell>
          <cell r="CX3">
            <v>29812.710515000774</v>
          </cell>
          <cell r="CY3">
            <v>29812.710515000774</v>
          </cell>
          <cell r="CZ3">
            <v>29812.710515000774</v>
          </cell>
          <cell r="DA3">
            <v>29812.710515000774</v>
          </cell>
          <cell r="DB3">
            <v>29812.710515000774</v>
          </cell>
          <cell r="DC3">
            <v>29812.710515000774</v>
          </cell>
          <cell r="DD3">
            <v>29812.710515000774</v>
          </cell>
          <cell r="DE3">
            <v>29812.710515000774</v>
          </cell>
          <cell r="DF3">
            <v>29812.710515000774</v>
          </cell>
          <cell r="DG3">
            <v>29812.710515000774</v>
          </cell>
          <cell r="DH3">
            <v>357752.52618000936</v>
          </cell>
        </row>
        <row r="4">
          <cell r="B4">
            <v>301</v>
          </cell>
          <cell r="C4" t="str">
            <v>Ag-Seed Exec. MGMT</v>
          </cell>
          <cell r="P4" t="str">
            <v>Herbicides APTH1</v>
          </cell>
          <cell r="Q4" t="str">
            <v>P211 - Herbicides APTH1</v>
          </cell>
          <cell r="R4" t="str">
            <v>AgPlenus</v>
          </cell>
          <cell r="S4" t="str">
            <v>P211</v>
          </cell>
          <cell r="U4" t="str">
            <v>B30</v>
          </cell>
          <cell r="V4" t="str">
            <v>Ag-Seed</v>
          </cell>
          <cell r="BN4" t="str">
            <v>E302 - Non Capped Patent</v>
          </cell>
          <cell r="BT4" t="str">
            <v>External</v>
          </cell>
          <cell r="BU4" t="str">
            <v>External</v>
          </cell>
          <cell r="BW4">
            <v>0</v>
          </cell>
          <cell r="CG4" t="str">
            <v>RD</v>
          </cell>
          <cell r="CH4" t="str">
            <v>20</v>
          </cell>
          <cell r="CQ4">
            <v>205</v>
          </cell>
          <cell r="CR4" t="str">
            <v>AgPlenus RD</v>
          </cell>
          <cell r="CS4" t="str">
            <v>Researcher &amp; pipeline manager</v>
          </cell>
          <cell r="CT4" t="str">
            <v>גלי</v>
          </cell>
          <cell r="CU4" t="str">
            <v>ששון</v>
          </cell>
          <cell r="CV4">
            <v>22130.78947554222</v>
          </cell>
          <cell r="CW4">
            <v>22130.78947554222</v>
          </cell>
          <cell r="CX4">
            <v>22130.78947554222</v>
          </cell>
          <cell r="CY4">
            <v>22130.78947554222</v>
          </cell>
          <cell r="CZ4">
            <v>22130.78947554222</v>
          </cell>
          <cell r="DA4">
            <v>22130.78947554222</v>
          </cell>
          <cell r="DB4">
            <v>22130.78947554222</v>
          </cell>
          <cell r="DC4">
            <v>22130.78947554222</v>
          </cell>
          <cell r="DD4">
            <v>22130.78947554222</v>
          </cell>
          <cell r="DE4">
            <v>22130.78947554222</v>
          </cell>
          <cell r="DF4">
            <v>22130.78947554222</v>
          </cell>
          <cell r="DG4">
            <v>22130.78947554222</v>
          </cell>
          <cell r="DH4">
            <v>265569.47370650672</v>
          </cell>
        </row>
        <row r="5">
          <cell r="B5">
            <v>303</v>
          </cell>
          <cell r="C5" t="str">
            <v>Ag-Seed PM</v>
          </cell>
          <cell r="P5" t="str">
            <v>Herbicides</v>
          </cell>
          <cell r="Q5" t="str">
            <v>P23 - Herbicides</v>
          </cell>
          <cell r="R5" t="str">
            <v>AgPlenus</v>
          </cell>
          <cell r="S5" t="str">
            <v>P23</v>
          </cell>
          <cell r="U5" t="str">
            <v>B31</v>
          </cell>
          <cell r="V5" t="str">
            <v>Insect-Control</v>
          </cell>
          <cell r="BN5" t="str">
            <v>E999 - External</v>
          </cell>
          <cell r="BT5" t="str">
            <v>External</v>
          </cell>
          <cell r="BU5" t="str">
            <v>External</v>
          </cell>
          <cell r="BW5">
            <v>0</v>
          </cell>
          <cell r="CG5" t="str">
            <v>SM</v>
          </cell>
          <cell r="CH5">
            <v>30</v>
          </cell>
          <cell r="CQ5">
            <v>205</v>
          </cell>
          <cell r="CR5" t="str">
            <v>AgPlenus RD</v>
          </cell>
          <cell r="CS5" t="str">
            <v>Senior Computational chemist</v>
          </cell>
          <cell r="CT5" t="str">
            <v>יהושוע</v>
          </cell>
          <cell r="CU5" t="str">
            <v>פרויד</v>
          </cell>
          <cell r="CV5">
            <v>35251.25318733426</v>
          </cell>
          <cell r="CW5">
            <v>35251.25318733426</v>
          </cell>
          <cell r="CX5">
            <v>35251.25318733426</v>
          </cell>
          <cell r="CY5">
            <v>35251.25318733426</v>
          </cell>
          <cell r="CZ5">
            <v>35251.25318733426</v>
          </cell>
          <cell r="DA5">
            <v>35251.25318733426</v>
          </cell>
          <cell r="DB5">
            <v>35251.25318733426</v>
          </cell>
          <cell r="DC5">
            <v>35251.25318733426</v>
          </cell>
          <cell r="DD5">
            <v>35251.25318733426</v>
          </cell>
          <cell r="DE5">
            <v>35251.25318733426</v>
          </cell>
          <cell r="DF5">
            <v>35251.25318733426</v>
          </cell>
          <cell r="DG5">
            <v>35251.25318733426</v>
          </cell>
          <cell r="DH5">
            <v>423015.0382480112</v>
          </cell>
        </row>
        <row r="6">
          <cell r="B6">
            <v>202</v>
          </cell>
          <cell r="C6" t="str">
            <v>AgPlenus BD</v>
          </cell>
          <cell r="P6" t="str">
            <v>Fungicides</v>
          </cell>
          <cell r="Q6" t="str">
            <v>P24 - Fungicides</v>
          </cell>
          <cell r="R6" t="str">
            <v>AgPlenus</v>
          </cell>
          <cell r="S6" t="str">
            <v>P24</v>
          </cell>
          <cell r="U6" t="str">
            <v>B32</v>
          </cell>
          <cell r="V6" t="str">
            <v>IP-Legacy</v>
          </cell>
          <cell r="BN6" t="str">
            <v>T101 - Agronomist</v>
          </cell>
          <cell r="BO6" t="str">
            <v>Agronomist FTE annual cost</v>
          </cell>
          <cell r="BP6" t="str">
            <v>B40/22.P997.418.XXX-T101</v>
          </cell>
          <cell r="BQ6" t="str">
            <v>Per annual FTE</v>
          </cell>
          <cell r="BR6" t="str">
            <v>418</v>
          </cell>
          <cell r="BS6" t="str">
            <v>B40</v>
          </cell>
          <cell r="BT6" t="str">
            <v>CPB</v>
          </cell>
          <cell r="BU6" t="str">
            <v>Evogene service</v>
          </cell>
          <cell r="BV6" t="str">
            <v>Period</v>
          </cell>
          <cell r="BW6">
            <v>646.45343382798376</v>
          </cell>
          <cell r="CG6" t="str">
            <v>BD</v>
          </cell>
          <cell r="CH6" t="str">
            <v>50</v>
          </cell>
          <cell r="CQ6">
            <v>203</v>
          </cell>
          <cell r="CR6" t="str">
            <v>AgPlenus PM</v>
          </cell>
          <cell r="CS6" t="str">
            <v>VP of Portfolio management</v>
          </cell>
          <cell r="CT6" t="str">
            <v>מירית</v>
          </cell>
          <cell r="CU6" t="str">
            <v>רם</v>
          </cell>
          <cell r="CV6">
            <v>57381.916276668206</v>
          </cell>
          <cell r="CW6">
            <v>57381.916276668206</v>
          </cell>
          <cell r="CX6">
            <v>57381.916276668206</v>
          </cell>
          <cell r="CY6">
            <v>57381.916276668206</v>
          </cell>
          <cell r="CZ6">
            <v>57381.916276668206</v>
          </cell>
          <cell r="DA6">
            <v>57381.916276668206</v>
          </cell>
          <cell r="DB6">
            <v>57381.916276668206</v>
          </cell>
          <cell r="DC6">
            <v>57381.916276668206</v>
          </cell>
          <cell r="DD6">
            <v>57381.916276668206</v>
          </cell>
          <cell r="DE6">
            <v>57381.916276668206</v>
          </cell>
          <cell r="DF6">
            <v>57381.916276668206</v>
          </cell>
          <cell r="DG6">
            <v>57381.916276668206</v>
          </cell>
          <cell r="DH6">
            <v>688582.9953200185</v>
          </cell>
        </row>
        <row r="7">
          <cell r="B7">
            <v>201</v>
          </cell>
          <cell r="C7" t="str">
            <v>AgPlenus Exec. MGMT</v>
          </cell>
          <cell r="P7" t="str">
            <v>TcdAB</v>
          </cell>
          <cell r="Q7" t="str">
            <v>P250 - TcdAB</v>
          </cell>
          <cell r="R7" t="str">
            <v>Biomica</v>
          </cell>
          <cell r="S7" t="str">
            <v>P250</v>
          </cell>
          <cell r="U7" t="str">
            <v>B40</v>
          </cell>
          <cell r="V7" t="str">
            <v>CPB</v>
          </cell>
          <cell r="BN7" t="str">
            <v>T102 - Algorithm Developer</v>
          </cell>
          <cell r="BO7" t="str">
            <v>Algorithm Developer FTE annual cost</v>
          </cell>
          <cell r="BP7" t="str">
            <v>B40/22.P997.404.XXX-T102</v>
          </cell>
          <cell r="BQ7" t="str">
            <v>Per annual FTE</v>
          </cell>
          <cell r="BR7" t="str">
            <v>404</v>
          </cell>
          <cell r="BS7" t="str">
            <v>B40</v>
          </cell>
          <cell r="BT7" t="str">
            <v>CPB</v>
          </cell>
          <cell r="BU7" t="str">
            <v>Evogene service</v>
          </cell>
          <cell r="BV7" t="str">
            <v>Period</v>
          </cell>
          <cell r="BW7">
            <v>1026.5096207180043</v>
          </cell>
          <cell r="CG7" t="str">
            <v>GA</v>
          </cell>
          <cell r="CH7" t="str">
            <v>60</v>
          </cell>
          <cell r="CQ7">
            <v>205</v>
          </cell>
          <cell r="CR7" t="str">
            <v>AgPlenus RD</v>
          </cell>
          <cell r="CS7" t="str">
            <v xml:space="preserve">PM &amp; Organic chemistry lead  </v>
          </cell>
          <cell r="CT7" t="str">
            <v>אזקיאל</v>
          </cell>
          <cell r="CU7" t="str">
            <v>וקסלבלט</v>
          </cell>
          <cell r="CV7">
            <v>33886.541489250885</v>
          </cell>
          <cell r="CW7">
            <v>33886.541489250885</v>
          </cell>
          <cell r="CX7">
            <v>33886.541489250885</v>
          </cell>
          <cell r="CY7">
            <v>33886.541489250885</v>
          </cell>
          <cell r="CZ7">
            <v>33886.541489250885</v>
          </cell>
          <cell r="DA7">
            <v>33886.541489250885</v>
          </cell>
          <cell r="DB7">
            <v>33886.541489250885</v>
          </cell>
          <cell r="DC7">
            <v>33886.541489250885</v>
          </cell>
          <cell r="DD7">
            <v>33886.541489250885</v>
          </cell>
          <cell r="DE7">
            <v>33886.541489250885</v>
          </cell>
          <cell r="DF7">
            <v>33886.541489250885</v>
          </cell>
          <cell r="DG7">
            <v>33886.541489250885</v>
          </cell>
          <cell r="DH7">
            <v>406638.49787101074</v>
          </cell>
        </row>
        <row r="8">
          <cell r="B8">
            <v>203</v>
          </cell>
          <cell r="C8" t="str">
            <v>AgPlenus PM</v>
          </cell>
          <cell r="P8" t="str">
            <v>MRSA 50S</v>
          </cell>
          <cell r="Q8" t="str">
            <v>P251 - MRSA 50S</v>
          </cell>
          <cell r="R8" t="str">
            <v>Biomica</v>
          </cell>
          <cell r="S8" t="str">
            <v>P251</v>
          </cell>
          <cell r="U8" t="str">
            <v>B41</v>
          </cell>
          <cell r="V8" t="str">
            <v>Phenomics</v>
          </cell>
          <cell r="BN8" t="str">
            <v>T103 - Bioinformatician</v>
          </cell>
          <cell r="BO8" t="str">
            <v>Bioinformatician FTE annual cost</v>
          </cell>
          <cell r="BP8" t="str">
            <v>B40/22.P997.405.XXX-T103</v>
          </cell>
          <cell r="BQ8" t="str">
            <v>Per annual FTE</v>
          </cell>
          <cell r="BR8" t="str">
            <v>405</v>
          </cell>
          <cell r="BS8" t="str">
            <v>B40</v>
          </cell>
          <cell r="BT8" t="str">
            <v>CPB</v>
          </cell>
          <cell r="BU8" t="str">
            <v>Evogene service</v>
          </cell>
          <cell r="BV8" t="str">
            <v>Period</v>
          </cell>
          <cell r="BW8">
            <v>854.45565710605922</v>
          </cell>
          <cell r="CG8" t="str">
            <v>Financial Inc/Exp</v>
          </cell>
          <cell r="CH8" t="str">
            <v>70</v>
          </cell>
          <cell r="CQ8">
            <v>205</v>
          </cell>
          <cell r="CR8" t="str">
            <v>AgPlenus RD</v>
          </cell>
          <cell r="CS8" t="str">
            <v>Weeds biologist</v>
          </cell>
          <cell r="CT8" t="str">
            <v>יניב</v>
          </cell>
          <cell r="CU8" t="str">
            <v>ברקוביץ</v>
          </cell>
          <cell r="CV8">
            <v>22781.957464583906</v>
          </cell>
          <cell r="CW8">
            <v>22781.957464583906</v>
          </cell>
          <cell r="CX8">
            <v>22781.957464583906</v>
          </cell>
          <cell r="CY8">
            <v>22781.957464583906</v>
          </cell>
          <cell r="CZ8">
            <v>22781.957464583906</v>
          </cell>
          <cell r="DA8">
            <v>22781.957464583906</v>
          </cell>
          <cell r="DB8">
            <v>22781.957464583906</v>
          </cell>
          <cell r="DC8">
            <v>22781.957464583906</v>
          </cell>
          <cell r="DD8">
            <v>22781.957464583906</v>
          </cell>
          <cell r="DE8">
            <v>22781.957464583906</v>
          </cell>
          <cell r="DF8">
            <v>22781.957464583906</v>
          </cell>
          <cell r="DG8">
            <v>22781.957464583906</v>
          </cell>
          <cell r="DH8">
            <v>273383.48957500694</v>
          </cell>
        </row>
        <row r="9">
          <cell r="B9">
            <v>205</v>
          </cell>
          <cell r="C9" t="str">
            <v>AgPlenus RD</v>
          </cell>
          <cell r="P9" t="str">
            <v>Cancer Immun adjuvant</v>
          </cell>
          <cell r="Q9" t="str">
            <v>P252 - Cancer Immun adjuvant</v>
          </cell>
          <cell r="R9" t="str">
            <v>Biomica</v>
          </cell>
          <cell r="S9" t="str">
            <v>P252</v>
          </cell>
          <cell r="U9" t="str">
            <v>B42</v>
          </cell>
          <cell r="V9" t="str">
            <v>CrisperIL</v>
          </cell>
          <cell r="BN9" t="str">
            <v>T104 - Data Gathering</v>
          </cell>
          <cell r="BO9" t="str">
            <v>Data Gathering FTE annual cost</v>
          </cell>
          <cell r="BP9" t="str">
            <v>B40/22.P997.411.XXX-T104</v>
          </cell>
          <cell r="BQ9" t="str">
            <v>Per annual FTE</v>
          </cell>
          <cell r="BR9" t="str">
            <v>411</v>
          </cell>
          <cell r="BS9" t="str">
            <v>B40</v>
          </cell>
          <cell r="BT9" t="str">
            <v>CPB</v>
          </cell>
          <cell r="BU9" t="str">
            <v>Evogene service</v>
          </cell>
          <cell r="BV9" t="str">
            <v>Period</v>
          </cell>
          <cell r="BW9">
            <v>538.97386395126284</v>
          </cell>
          <cell r="CG9" t="str">
            <v>Grants refundable</v>
          </cell>
          <cell r="CH9" t="str">
            <v>90</v>
          </cell>
          <cell r="CQ9">
            <v>205</v>
          </cell>
          <cell r="CR9" t="str">
            <v>AgPlenus RD</v>
          </cell>
          <cell r="CS9" t="str">
            <v>Chemistry lab manager</v>
          </cell>
          <cell r="CT9" t="str">
            <v>דפנה</v>
          </cell>
          <cell r="CU9" t="str">
            <v>מרדכי</v>
          </cell>
          <cell r="CV9">
            <v>19483.992119375482</v>
          </cell>
          <cell r="CW9">
            <v>19483.992119375482</v>
          </cell>
          <cell r="CX9">
            <v>19483.992119375482</v>
          </cell>
          <cell r="CY9">
            <v>19483.992119375482</v>
          </cell>
          <cell r="CZ9">
            <v>19483.992119375482</v>
          </cell>
          <cell r="DA9">
            <v>19483.992119375482</v>
          </cell>
          <cell r="DB9">
            <v>19483.992119375482</v>
          </cell>
          <cell r="DC9">
            <v>19483.992119375482</v>
          </cell>
          <cell r="DD9">
            <v>19483.992119375482</v>
          </cell>
          <cell r="DE9">
            <v>19483.992119375482</v>
          </cell>
          <cell r="DF9">
            <v>19483.992119375482</v>
          </cell>
          <cell r="DG9">
            <v>19483.992119375482</v>
          </cell>
          <cell r="DH9">
            <v>233807.90543250574</v>
          </cell>
        </row>
        <row r="10">
          <cell r="B10">
            <v>404</v>
          </cell>
          <cell r="C10" t="str">
            <v>Algorithm</v>
          </cell>
          <cell r="P10" t="str">
            <v>IBS</v>
          </cell>
          <cell r="Q10" t="str">
            <v>P254 - IBS</v>
          </cell>
          <cell r="R10" t="str">
            <v>Biomica</v>
          </cell>
          <cell r="S10" t="str">
            <v>P254</v>
          </cell>
          <cell r="U10" t="str">
            <v>B50</v>
          </cell>
          <cell r="V10" t="str">
            <v>CPBL</v>
          </cell>
          <cell r="BN10" t="str">
            <v>T105 - DevOps</v>
          </cell>
          <cell r="BO10" t="str">
            <v>DevOps FTE annual cost</v>
          </cell>
          <cell r="BP10" t="str">
            <v>B40/22.P997.420.XXX-T105</v>
          </cell>
          <cell r="BQ10" t="str">
            <v>Per annual FTE</v>
          </cell>
          <cell r="BR10" t="str">
            <v>420</v>
          </cell>
          <cell r="BS10" t="str">
            <v>B40</v>
          </cell>
          <cell r="BT10" t="str">
            <v>CPB</v>
          </cell>
          <cell r="BU10" t="str">
            <v>Evogene service</v>
          </cell>
          <cell r="BV10" t="str">
            <v>Period</v>
          </cell>
          <cell r="BW10">
            <v>1074.8754271426164</v>
          </cell>
          <cell r="CG10" t="str">
            <v>CAPEX</v>
          </cell>
          <cell r="CH10" t="str">
            <v>95</v>
          </cell>
          <cell r="CQ10">
            <v>205</v>
          </cell>
          <cell r="CR10" t="str">
            <v>AgPlenus RD</v>
          </cell>
          <cell r="CS10" t="str">
            <v>Computational Chemist</v>
          </cell>
          <cell r="CT10" t="str">
            <v>קרן</v>
          </cell>
          <cell r="CU10" t="str">
            <v>רז</v>
          </cell>
          <cell r="CV10">
            <v>29724.586115000769</v>
          </cell>
          <cell r="CW10">
            <v>29724.586115000769</v>
          </cell>
          <cell r="CX10">
            <v>29724.586115000769</v>
          </cell>
          <cell r="CY10">
            <v>29724.586115000769</v>
          </cell>
          <cell r="CZ10">
            <v>29724.586115000769</v>
          </cell>
          <cell r="DA10">
            <v>29724.586115000769</v>
          </cell>
          <cell r="DB10">
            <v>29724.586115000769</v>
          </cell>
          <cell r="DC10">
            <v>29724.586115000769</v>
          </cell>
          <cell r="DD10">
            <v>29724.586115000769</v>
          </cell>
          <cell r="DE10">
            <v>29724.586115000769</v>
          </cell>
          <cell r="DF10">
            <v>29724.586115000769</v>
          </cell>
          <cell r="DG10">
            <v>29724.586115000769</v>
          </cell>
          <cell r="DH10">
            <v>356695.03338000923</v>
          </cell>
        </row>
        <row r="11">
          <cell r="B11">
            <v>405</v>
          </cell>
          <cell r="C11" t="str">
            <v>Bioinformatics</v>
          </cell>
          <cell r="P11" t="str">
            <v>IBD</v>
          </cell>
          <cell r="Q11" t="str">
            <v>P255 - IBD</v>
          </cell>
          <cell r="R11" t="str">
            <v>Biomica</v>
          </cell>
          <cell r="S11" t="str">
            <v>P255</v>
          </cell>
          <cell r="U11" t="str">
            <v>B55</v>
          </cell>
          <cell r="V11" t="str">
            <v>CSO</v>
          </cell>
          <cell r="BN11" t="str">
            <v>T106 - Molecular Biologist</v>
          </cell>
          <cell r="BO11" t="str">
            <v>Molecular Biologist FTE annual cost</v>
          </cell>
          <cell r="BP11" t="str">
            <v>B40/22.P997.413.XXX-T106</v>
          </cell>
          <cell r="BQ11" t="str">
            <v>Per annual FTE</v>
          </cell>
          <cell r="BR11" t="str">
            <v>413</v>
          </cell>
          <cell r="BS11" t="str">
            <v>B40</v>
          </cell>
          <cell r="BT11" t="str">
            <v>CPB</v>
          </cell>
          <cell r="BU11" t="str">
            <v>Evogene service</v>
          </cell>
          <cell r="BV11" t="str">
            <v>Period</v>
          </cell>
          <cell r="BW11">
            <v>615.12719379966495</v>
          </cell>
          <cell r="CG11" t="str">
            <v>Cash Adjusments</v>
          </cell>
          <cell r="CH11" t="str">
            <v>96</v>
          </cell>
          <cell r="CQ11">
            <v>205</v>
          </cell>
          <cell r="CR11" t="str">
            <v>AgPlenus RD</v>
          </cell>
          <cell r="CS11" t="str">
            <v>Researcher Coordinator</v>
          </cell>
          <cell r="CT11" t="str">
            <v>רינה</v>
          </cell>
          <cell r="CU11" t="str">
            <v>סטיטצ'ר</v>
          </cell>
          <cell r="CV11">
            <v>14019.017196083678</v>
          </cell>
          <cell r="CW11">
            <v>14019.017196083678</v>
          </cell>
          <cell r="CX11">
            <v>14019.017196083678</v>
          </cell>
          <cell r="CY11">
            <v>14019.017196083678</v>
          </cell>
          <cell r="CZ11">
            <v>14019.017196083678</v>
          </cell>
          <cell r="DA11">
            <v>14019.017196083678</v>
          </cell>
          <cell r="DB11">
            <v>14019.017196083678</v>
          </cell>
          <cell r="DC11">
            <v>14019.017196083678</v>
          </cell>
          <cell r="DD11">
            <v>14019.017196083678</v>
          </cell>
          <cell r="DE11">
            <v>14019.017196083678</v>
          </cell>
          <cell r="DF11">
            <v>14019.017196083678</v>
          </cell>
          <cell r="DG11">
            <v>14019.017196083678</v>
          </cell>
          <cell r="DH11">
            <v>168228.20635300412</v>
          </cell>
        </row>
        <row r="12">
          <cell r="B12">
            <v>995</v>
          </cell>
          <cell r="C12" t="str">
            <v>Biomica BD</v>
          </cell>
          <cell r="P12" t="str">
            <v>Infrastructure</v>
          </cell>
          <cell r="Q12" t="str">
            <v>P257 - Infrastructure</v>
          </cell>
          <cell r="R12" t="str">
            <v>Biomica</v>
          </cell>
          <cell r="S12" t="str">
            <v>P257</v>
          </cell>
          <cell r="U12" t="str">
            <v>B70</v>
          </cell>
          <cell r="V12" t="str">
            <v>Biomica</v>
          </cell>
          <cell r="BN12" t="str">
            <v>T107 - Phytopatologist</v>
          </cell>
          <cell r="BO12" t="str">
            <v>Phytopatologist FTE annual cost</v>
          </cell>
          <cell r="BP12" t="str">
            <v>B40/22.P997.415.XXX-T107</v>
          </cell>
          <cell r="BQ12" t="str">
            <v>Per annual FTE</v>
          </cell>
          <cell r="BR12" t="str">
            <v>415</v>
          </cell>
          <cell r="BS12" t="str">
            <v>B40</v>
          </cell>
          <cell r="BT12" t="str">
            <v>CPB</v>
          </cell>
          <cell r="BU12" t="str">
            <v>Evogene service</v>
          </cell>
          <cell r="BV12" t="str">
            <v>Period</v>
          </cell>
          <cell r="BW12">
            <v>523.54476488960313</v>
          </cell>
          <cell r="CQ12">
            <v>205</v>
          </cell>
          <cell r="CR12" t="str">
            <v>AgPlenus RD</v>
          </cell>
          <cell r="CS12" t="str">
            <v>VP R&amp;D</v>
          </cell>
          <cell r="CT12" t="str">
            <v>מירב</v>
          </cell>
          <cell r="CU12" t="str">
            <v>ביימן</v>
          </cell>
          <cell r="CV12">
            <v>58131.726944239352</v>
          </cell>
          <cell r="CW12">
            <v>58131.726944239352</v>
          </cell>
          <cell r="CX12">
            <v>58131.726944239352</v>
          </cell>
          <cell r="CY12">
            <v>58131.726944239352</v>
          </cell>
          <cell r="CZ12">
            <v>58131.726944239352</v>
          </cell>
          <cell r="DA12">
            <v>58131.726944239352</v>
          </cell>
          <cell r="DB12">
            <v>58131.726944239352</v>
          </cell>
          <cell r="DC12">
            <v>58131.726944239352</v>
          </cell>
          <cell r="DD12">
            <v>58131.726944239352</v>
          </cell>
          <cell r="DE12">
            <v>58131.726944239352</v>
          </cell>
          <cell r="DF12">
            <v>58131.726944239352</v>
          </cell>
          <cell r="DG12">
            <v>58131.726944239352</v>
          </cell>
          <cell r="DH12">
            <v>697580.72333087225</v>
          </cell>
        </row>
        <row r="13">
          <cell r="B13">
            <v>207</v>
          </cell>
          <cell r="C13" t="str">
            <v>Biomica CSO</v>
          </cell>
          <cell r="P13" t="str">
            <v>Breeding general</v>
          </cell>
          <cell r="Q13" t="str">
            <v>P197 - Breeding general</v>
          </cell>
          <cell r="R13" t="str">
            <v>Canonic</v>
          </cell>
          <cell r="S13" t="str">
            <v>P197</v>
          </cell>
          <cell r="U13" t="str">
            <v>B72</v>
          </cell>
          <cell r="V13" t="str">
            <v>Casterra</v>
          </cell>
          <cell r="BN13" t="str">
            <v>T108 - PLM</v>
          </cell>
          <cell r="BO13" t="str">
            <v>PLM FTE annual cost</v>
          </cell>
          <cell r="BP13" t="str">
            <v>B40/22.P997.412.XXX-T108</v>
          </cell>
          <cell r="BQ13" t="str">
            <v>Per annual FTE</v>
          </cell>
          <cell r="BR13" t="str">
            <v>412</v>
          </cell>
          <cell r="BS13" t="str">
            <v>B40</v>
          </cell>
          <cell r="BT13" t="str">
            <v>CPB</v>
          </cell>
          <cell r="BU13" t="str">
            <v>Evogene service</v>
          </cell>
          <cell r="BV13" t="str">
            <v>Period</v>
          </cell>
          <cell r="BW13">
            <v>568.75740332391092</v>
          </cell>
          <cell r="CP13" t="str">
            <v xml:space="preserve"> </v>
          </cell>
          <cell r="DH13">
            <v>3871253.8893969543</v>
          </cell>
        </row>
        <row r="14">
          <cell r="B14">
            <v>994</v>
          </cell>
          <cell r="C14" t="str">
            <v>Biomica Exec. MGMT</v>
          </cell>
          <cell r="P14" t="str">
            <v xml:space="preserve">Breeding -MG </v>
          </cell>
          <cell r="Q14" t="str">
            <v xml:space="preserve">P198 - Breeding -MG </v>
          </cell>
          <cell r="R14" t="str">
            <v>Canonic</v>
          </cell>
          <cell r="S14" t="str">
            <v>P198</v>
          </cell>
          <cell r="U14" t="str">
            <v>B74</v>
          </cell>
          <cell r="V14" t="str">
            <v>Canonic</v>
          </cell>
          <cell r="BN14" t="str">
            <v>T109 - Product Manager</v>
          </cell>
          <cell r="BO14" t="str">
            <v>Product Manager FTE annual cost</v>
          </cell>
          <cell r="BP14" t="str">
            <v>B55/22.P997.427.XXX-T109</v>
          </cell>
          <cell r="BQ14" t="str">
            <v>Per annual FTE</v>
          </cell>
          <cell r="BR14" t="str">
            <v>427</v>
          </cell>
          <cell r="BS14" t="str">
            <v>B55</v>
          </cell>
          <cell r="BT14" t="str">
            <v>CPB</v>
          </cell>
          <cell r="BU14" t="str">
            <v>Evogene service</v>
          </cell>
          <cell r="BV14" t="str">
            <v>Period</v>
          </cell>
          <cell r="BW14">
            <v>827.44320670591105</v>
          </cell>
          <cell r="CP14" t="str">
            <v xml:space="preserve">שם פרטי  שם משפחה </v>
          </cell>
          <cell r="CQ14" t="str">
            <v>Department number</v>
          </cell>
          <cell r="CR14" t="str">
            <v>Department</v>
          </cell>
          <cell r="CS14" t="str">
            <v>הגדרת תפקיד</v>
          </cell>
          <cell r="CT14" t="str">
            <v xml:space="preserve">שם פרטי </v>
          </cell>
          <cell r="CU14" t="str">
            <v xml:space="preserve">שם משפחה </v>
          </cell>
          <cell r="CV14" t="str">
            <v>ינואר</v>
          </cell>
          <cell r="CW14" t="str">
            <v>פברואר</v>
          </cell>
          <cell r="CX14" t="str">
            <v>מרץ</v>
          </cell>
          <cell r="CY14" t="str">
            <v>אפריל</v>
          </cell>
          <cell r="CZ14" t="str">
            <v>מאי</v>
          </cell>
          <cell r="DA14" t="str">
            <v>יוני</v>
          </cell>
          <cell r="DB14" t="str">
            <v>יולי</v>
          </cell>
          <cell r="DC14" t="str">
            <v>אוגוסט</v>
          </cell>
          <cell r="DD14" t="str">
            <v>ספטמבר</v>
          </cell>
          <cell r="DE14" t="str">
            <v>אוקטובר</v>
          </cell>
          <cell r="DF14" t="str">
            <v>נובמבר</v>
          </cell>
          <cell r="DG14" t="str">
            <v>דצמבר</v>
          </cell>
          <cell r="DH14" t="str">
            <v>סה"כ שנתי  - USD</v>
          </cell>
        </row>
        <row r="15">
          <cell r="B15">
            <v>206</v>
          </cell>
          <cell r="C15" t="str">
            <v>Biomica Lab</v>
          </cell>
          <cell r="P15" t="str">
            <v>Core collection &amp; Database</v>
          </cell>
          <cell r="Q15" t="str">
            <v>P199 - Core collection &amp; Database</v>
          </cell>
          <cell r="R15" t="str">
            <v>Canonic</v>
          </cell>
          <cell r="S15" t="str">
            <v>P199</v>
          </cell>
          <cell r="U15" t="str">
            <v>B90</v>
          </cell>
          <cell r="V15" t="str">
            <v>Corporate</v>
          </cell>
          <cell r="BN15" t="str">
            <v>T110 - Project Manager</v>
          </cell>
          <cell r="BO15" t="str">
            <v>Project Manager FTE annual cost</v>
          </cell>
          <cell r="BP15" t="str">
            <v>B40/22.P997.426.XXX-T110</v>
          </cell>
          <cell r="BQ15" t="str">
            <v>Per annual FTE</v>
          </cell>
          <cell r="BR15" t="str">
            <v>426</v>
          </cell>
          <cell r="BS15" t="str">
            <v>B40</v>
          </cell>
          <cell r="BT15" t="str">
            <v>CPB</v>
          </cell>
          <cell r="BU15" t="str">
            <v>Evogene service</v>
          </cell>
          <cell r="BV15" t="str">
            <v>Period</v>
          </cell>
          <cell r="BW15">
            <v>0</v>
          </cell>
          <cell r="CP15" t="str">
            <v>אפרת אקסלרוד(נוי)</v>
          </cell>
          <cell r="CQ15">
            <v>205</v>
          </cell>
          <cell r="CR15" t="str">
            <v>AgPlenus RD</v>
          </cell>
          <cell r="CS15" t="str">
            <v>Computational Chemistry  Team Leader</v>
          </cell>
          <cell r="CT15" t="str">
            <v>אפרת</v>
          </cell>
          <cell r="CU15" t="str">
            <v>אקסלרוד(נוי)</v>
          </cell>
          <cell r="CV15">
            <v>8768.4442691178756</v>
          </cell>
          <cell r="CW15">
            <v>8768.4442691178756</v>
          </cell>
          <cell r="CX15">
            <v>8768.4442691178756</v>
          </cell>
          <cell r="CY15">
            <v>8768.4442691178756</v>
          </cell>
          <cell r="CZ15">
            <v>8768.4442691178756</v>
          </cell>
          <cell r="DA15">
            <v>8768.4442691178756</v>
          </cell>
          <cell r="DB15">
            <v>8768.4442691178756</v>
          </cell>
          <cell r="DC15">
            <v>8768.4442691178756</v>
          </cell>
          <cell r="DD15">
            <v>8768.4442691178756</v>
          </cell>
          <cell r="DE15">
            <v>8768.4442691178756</v>
          </cell>
          <cell r="DF15">
            <v>8768.4442691178756</v>
          </cell>
          <cell r="DG15">
            <v>8768.4442691178756</v>
          </cell>
          <cell r="DH15">
            <v>105221.33122941449</v>
          </cell>
        </row>
        <row r="16">
          <cell r="B16">
            <v>999</v>
          </cell>
          <cell r="C16" t="str">
            <v>Biomica RD</v>
          </cell>
          <cell r="P16" t="str">
            <v>Product development</v>
          </cell>
          <cell r="Q16" t="str">
            <v>P205 - Product development</v>
          </cell>
          <cell r="R16" t="str">
            <v>Canonic</v>
          </cell>
          <cell r="S16" t="str">
            <v>P205</v>
          </cell>
          <cell r="BN16" t="str">
            <v>T111 - Seedbank</v>
          </cell>
          <cell r="BO16" t="str">
            <v>Seedbank FTE annual cost</v>
          </cell>
          <cell r="BP16" t="str">
            <v>B40/22.P997.418.XXX-T111</v>
          </cell>
          <cell r="BQ16" t="str">
            <v>Per annual FTE</v>
          </cell>
          <cell r="BR16" t="str">
            <v>418</v>
          </cell>
          <cell r="BS16" t="str">
            <v>B40</v>
          </cell>
          <cell r="BT16" t="str">
            <v>CPB</v>
          </cell>
          <cell r="BU16" t="str">
            <v>Evogene service</v>
          </cell>
          <cell r="BV16" t="str">
            <v>Period</v>
          </cell>
          <cell r="BW16">
            <v>0</v>
          </cell>
          <cell r="CP16" t="str">
            <v>גלי ששון</v>
          </cell>
          <cell r="CQ16">
            <v>205</v>
          </cell>
          <cell r="CR16" t="str">
            <v>AgPlenus RD</v>
          </cell>
          <cell r="CS16" t="str">
            <v>Researcher &amp; pipeline manager</v>
          </cell>
          <cell r="CT16" t="str">
            <v>גלי</v>
          </cell>
          <cell r="CU16" t="str">
            <v>ששון</v>
          </cell>
          <cell r="CV16">
            <v>6509.0557281006531</v>
          </cell>
          <cell r="CW16">
            <v>6509.0557281006531</v>
          </cell>
          <cell r="CX16">
            <v>6509.0557281006531</v>
          </cell>
          <cell r="CY16">
            <v>6509.0557281006531</v>
          </cell>
          <cell r="CZ16">
            <v>6509.0557281006531</v>
          </cell>
          <cell r="DA16">
            <v>6509.0557281006531</v>
          </cell>
          <cell r="DB16">
            <v>6509.0557281006531</v>
          </cell>
          <cell r="DC16">
            <v>6509.0557281006531</v>
          </cell>
          <cell r="DD16">
            <v>6509.0557281006531</v>
          </cell>
          <cell r="DE16">
            <v>6509.0557281006531</v>
          </cell>
          <cell r="DF16">
            <v>6509.0557281006531</v>
          </cell>
          <cell r="DG16">
            <v>6509.0557281006531</v>
          </cell>
          <cell r="DH16">
            <v>78108.668737207845</v>
          </cell>
        </row>
        <row r="17">
          <cell r="B17">
            <v>422</v>
          </cell>
          <cell r="C17" t="str">
            <v>CPB Directors</v>
          </cell>
          <cell r="P17" t="str">
            <v>Computational Dev</v>
          </cell>
          <cell r="Q17" t="str">
            <v>P209 - Computational Dev</v>
          </cell>
          <cell r="R17" t="str">
            <v>Canonic</v>
          </cell>
          <cell r="S17" t="str">
            <v>P209</v>
          </cell>
          <cell r="BN17" t="str">
            <v>T112 - Software Developer</v>
          </cell>
          <cell r="BO17" t="str">
            <v>Software Developer FTE annual cost</v>
          </cell>
          <cell r="BP17" t="str">
            <v>B40/22.P997.406.XXX-T112</v>
          </cell>
          <cell r="BQ17" t="str">
            <v>Per annual FTE</v>
          </cell>
          <cell r="BR17" t="str">
            <v>406</v>
          </cell>
          <cell r="BS17" t="str">
            <v>B40</v>
          </cell>
          <cell r="BT17" t="str">
            <v>CPB</v>
          </cell>
          <cell r="BU17" t="str">
            <v>Evogene service</v>
          </cell>
          <cell r="BV17" t="str">
            <v>Period</v>
          </cell>
          <cell r="BW17">
            <v>1020.572214722201</v>
          </cell>
          <cell r="CP17" t="str">
            <v>יהושוע פרויד</v>
          </cell>
          <cell r="CQ17">
            <v>205</v>
          </cell>
          <cell r="CR17" t="str">
            <v>AgPlenus RD</v>
          </cell>
          <cell r="CS17" t="str">
            <v>Senior Computational chemist</v>
          </cell>
          <cell r="CT17" t="str">
            <v>יהושוע</v>
          </cell>
          <cell r="CU17" t="str">
            <v>פרויד</v>
          </cell>
          <cell r="CV17">
            <v>10368.015643333607</v>
          </cell>
          <cell r="CW17">
            <v>10368.015643333607</v>
          </cell>
          <cell r="CX17">
            <v>10368.015643333607</v>
          </cell>
          <cell r="CY17">
            <v>10368.015643333607</v>
          </cell>
          <cell r="CZ17">
            <v>10368.015643333607</v>
          </cell>
          <cell r="DA17">
            <v>10368.015643333607</v>
          </cell>
          <cell r="DB17">
            <v>10368.015643333607</v>
          </cell>
          <cell r="DC17">
            <v>10368.015643333607</v>
          </cell>
          <cell r="DD17">
            <v>10368.015643333607</v>
          </cell>
          <cell r="DE17">
            <v>10368.015643333607</v>
          </cell>
          <cell r="DF17">
            <v>10368.015643333607</v>
          </cell>
          <cell r="DG17">
            <v>10368.015643333607</v>
          </cell>
          <cell r="DH17">
            <v>124416.18772000329</v>
          </cell>
        </row>
        <row r="18">
          <cell r="B18">
            <v>401</v>
          </cell>
          <cell r="C18" t="str">
            <v>CPB Exec. MGMT</v>
          </cell>
          <cell r="P18" t="str">
            <v>Rebranding</v>
          </cell>
          <cell r="Q18" t="str">
            <v>P268 - Rebranding</v>
          </cell>
          <cell r="R18" t="str">
            <v>Corporate</v>
          </cell>
          <cell r="S18" t="str">
            <v>P268</v>
          </cell>
          <cell r="BN18" t="str">
            <v>T113 - Tissue Biologist</v>
          </cell>
          <cell r="BO18" t="str">
            <v>Tissue Biologist FTE annual cost</v>
          </cell>
          <cell r="BP18" t="str">
            <v>B40/22.P997.416.XXX-T113</v>
          </cell>
          <cell r="BQ18" t="str">
            <v>Per annual FTE</v>
          </cell>
          <cell r="BR18" t="str">
            <v>416</v>
          </cell>
          <cell r="BS18" t="str">
            <v>B40</v>
          </cell>
          <cell r="BT18" t="str">
            <v>CPB</v>
          </cell>
          <cell r="BU18" t="str">
            <v>Evogene service</v>
          </cell>
          <cell r="BV18" t="str">
            <v>Period</v>
          </cell>
          <cell r="BW18">
            <v>604.21798980735002</v>
          </cell>
          <cell r="CP18" t="str">
            <v>מירית רם</v>
          </cell>
          <cell r="CQ18">
            <v>203</v>
          </cell>
          <cell r="CR18" t="str">
            <v>AgPlenus PM</v>
          </cell>
          <cell r="CS18" t="str">
            <v>VP of Portfolio management</v>
          </cell>
          <cell r="CT18" t="str">
            <v>מירית</v>
          </cell>
          <cell r="CU18" t="str">
            <v>רם</v>
          </cell>
          <cell r="CV18">
            <v>16877.034199020061</v>
          </cell>
          <cell r="CW18">
            <v>16877.034199020061</v>
          </cell>
          <cell r="CX18">
            <v>16877.034199020061</v>
          </cell>
          <cell r="CY18">
            <v>16877.034199020061</v>
          </cell>
          <cell r="CZ18">
            <v>16877.034199020061</v>
          </cell>
          <cell r="DA18">
            <v>16877.034199020061</v>
          </cell>
          <cell r="DB18">
            <v>16877.034199020061</v>
          </cell>
          <cell r="DC18">
            <v>16877.034199020061</v>
          </cell>
          <cell r="DD18">
            <v>16877.034199020061</v>
          </cell>
          <cell r="DE18">
            <v>16877.034199020061</v>
          </cell>
          <cell r="DF18">
            <v>16877.034199020061</v>
          </cell>
          <cell r="DG18">
            <v>16877.034199020061</v>
          </cell>
          <cell r="DH18">
            <v>202524.41038824079</v>
          </cell>
        </row>
        <row r="19">
          <cell r="B19">
            <v>996</v>
          </cell>
          <cell r="C19" t="str">
            <v>Canonic BD</v>
          </cell>
          <cell r="P19" t="str">
            <v>Zero Balance</v>
          </cell>
          <cell r="Q19" t="str">
            <v>P509 - Zero Balance</v>
          </cell>
          <cell r="R19" t="str">
            <v>Corporate</v>
          </cell>
          <cell r="S19" t="str">
            <v>P509</v>
          </cell>
          <cell r="BN19" t="str">
            <v>T114 - Hourly Student</v>
          </cell>
          <cell r="BO19" t="str">
            <v>Hourly Student FTE annual cost</v>
          </cell>
          <cell r="BQ19" t="str">
            <v>Per annual FTE</v>
          </cell>
          <cell r="BR19" t="str">
            <v>418</v>
          </cell>
          <cell r="BS19" t="str">
            <v>B40</v>
          </cell>
          <cell r="BT19" t="str">
            <v>External</v>
          </cell>
          <cell r="BU19" t="str">
            <v>External</v>
          </cell>
          <cell r="BV19" t="str">
            <v>Period</v>
          </cell>
          <cell r="BW19">
            <v>172.72727272727272</v>
          </cell>
          <cell r="CP19" t="str">
            <v>אזקיאל וקסלבלט</v>
          </cell>
          <cell r="CQ19">
            <v>205</v>
          </cell>
          <cell r="CR19" t="str">
            <v>AgPlenus RD</v>
          </cell>
          <cell r="CS19" t="str">
            <v xml:space="preserve">PM &amp; Organic chemistry lead  </v>
          </cell>
          <cell r="CT19" t="str">
            <v>אזקיאל</v>
          </cell>
          <cell r="CU19" t="str">
            <v>וקסלבלט</v>
          </cell>
          <cell r="CV19">
            <v>9966.6298497796724</v>
          </cell>
          <cell r="CW19">
            <v>9966.6298497796724</v>
          </cell>
          <cell r="CX19">
            <v>9966.6298497796724</v>
          </cell>
          <cell r="CY19">
            <v>9966.6298497796724</v>
          </cell>
          <cell r="CZ19">
            <v>9966.6298497796724</v>
          </cell>
          <cell r="DA19">
            <v>9966.6298497796724</v>
          </cell>
          <cell r="DB19">
            <v>9966.6298497796724</v>
          </cell>
          <cell r="DC19">
            <v>9966.6298497796724</v>
          </cell>
          <cell r="DD19">
            <v>9966.6298497796724</v>
          </cell>
          <cell r="DE19">
            <v>9966.6298497796724</v>
          </cell>
          <cell r="DF19">
            <v>9966.6298497796724</v>
          </cell>
          <cell r="DG19">
            <v>9966.6298497796724</v>
          </cell>
          <cell r="DH19">
            <v>119599.55819735605</v>
          </cell>
        </row>
        <row r="20">
          <cell r="B20">
            <v>982</v>
          </cell>
          <cell r="C20" t="str">
            <v>Canonic Exec.MGMT</v>
          </cell>
          <cell r="P20" t="str">
            <v>Operations &amp; Corporate</v>
          </cell>
          <cell r="Q20" t="str">
            <v>P7 - Operations &amp; Corporate</v>
          </cell>
          <cell r="R20" t="str">
            <v>Corporate</v>
          </cell>
          <cell r="S20" t="str">
            <v>P7</v>
          </cell>
          <cell r="BN20" t="str">
            <v>T115 - System Architect</v>
          </cell>
          <cell r="BW20">
            <v>1237.1964239733679</v>
          </cell>
          <cell r="CP20" t="str">
            <v>יניב ברקוביץ</v>
          </cell>
          <cell r="CQ20">
            <v>205</v>
          </cell>
          <cell r="CR20" t="str">
            <v>AgPlenus RD</v>
          </cell>
          <cell r="CS20" t="str">
            <v>Weeds biologist</v>
          </cell>
          <cell r="CT20" t="str">
            <v>יניב</v>
          </cell>
          <cell r="CU20" t="str">
            <v>ברקוביץ</v>
          </cell>
          <cell r="CV20">
            <v>6700.5757248776199</v>
          </cell>
          <cell r="CW20">
            <v>6700.5757248776199</v>
          </cell>
          <cell r="CX20">
            <v>6700.5757248776199</v>
          </cell>
          <cell r="CY20">
            <v>6700.5757248776199</v>
          </cell>
          <cell r="CZ20">
            <v>6700.5757248776199</v>
          </cell>
          <cell r="DA20">
            <v>6700.5757248776199</v>
          </cell>
          <cell r="DB20">
            <v>6700.5757248776199</v>
          </cell>
          <cell r="DC20">
            <v>6700.5757248776199</v>
          </cell>
          <cell r="DD20">
            <v>6700.5757248776199</v>
          </cell>
          <cell r="DE20">
            <v>6700.5757248776199</v>
          </cell>
          <cell r="DF20">
            <v>6700.5757248776199</v>
          </cell>
          <cell r="DG20">
            <v>6700.5757248776199</v>
          </cell>
          <cell r="DH20">
            <v>80406.908698531435</v>
          </cell>
        </row>
        <row r="21">
          <cell r="B21">
            <v>981</v>
          </cell>
          <cell r="C21" t="str">
            <v>Canonic RD</v>
          </cell>
          <cell r="P21" t="str">
            <v>CPB Upkeep Computational</v>
          </cell>
          <cell r="Q21" t="str">
            <v>P271 - CPB Upkeep Computational</v>
          </cell>
          <cell r="R21" t="str">
            <v>CPB</v>
          </cell>
          <cell r="S21" t="str">
            <v>P271</v>
          </cell>
          <cell r="BN21" t="str">
            <v>T201 - Data Package</v>
          </cell>
          <cell r="BO21" t="str">
            <v>Data Package Fixed cost</v>
          </cell>
          <cell r="BP21" t="str">
            <v>B40/22.P271.422.XXX-T201</v>
          </cell>
          <cell r="BQ21" t="str">
            <v>Fixed - Specific</v>
          </cell>
          <cell r="BR21" t="str">
            <v>422</v>
          </cell>
          <cell r="BS21" t="str">
            <v>B40</v>
          </cell>
          <cell r="BT21" t="str">
            <v>CPB</v>
          </cell>
          <cell r="BU21" t="str">
            <v>Evogene service</v>
          </cell>
          <cell r="BV21" t="str">
            <v>Period</v>
          </cell>
          <cell r="BW21">
            <v>0</v>
          </cell>
          <cell r="CP21" t="str">
            <v>דפנה מרדכי</v>
          </cell>
          <cell r="CQ21">
            <v>205</v>
          </cell>
          <cell r="CR21" t="str">
            <v>AgPlenus RD</v>
          </cell>
          <cell r="CS21" t="str">
            <v>Chemistry lab manager</v>
          </cell>
          <cell r="CT21" t="str">
            <v>דפנה</v>
          </cell>
          <cell r="CU21" t="str">
            <v>מרדכי</v>
          </cell>
          <cell r="CV21">
            <v>5730.585917463377</v>
          </cell>
          <cell r="CW21">
            <v>5730.585917463377</v>
          </cell>
          <cell r="CX21">
            <v>5730.585917463377</v>
          </cell>
          <cell r="CY21">
            <v>5730.585917463377</v>
          </cell>
          <cell r="CZ21">
            <v>5730.585917463377</v>
          </cell>
          <cell r="DA21">
            <v>5730.585917463377</v>
          </cell>
          <cell r="DB21">
            <v>5730.585917463377</v>
          </cell>
          <cell r="DC21">
            <v>5730.585917463377</v>
          </cell>
          <cell r="DD21">
            <v>5730.585917463377</v>
          </cell>
          <cell r="DE21">
            <v>5730.585917463377</v>
          </cell>
          <cell r="DF21">
            <v>5730.585917463377</v>
          </cell>
          <cell r="DG21">
            <v>5730.585917463377</v>
          </cell>
          <cell r="DH21">
            <v>68767.031009560538</v>
          </cell>
        </row>
        <row r="22">
          <cell r="B22">
            <v>993</v>
          </cell>
          <cell r="C22" t="str">
            <v>Casterra BD</v>
          </cell>
          <cell r="P22" t="str">
            <v>CPB Upkeep Experimental</v>
          </cell>
          <cell r="Q22" t="str">
            <v>P275 - CPB Upkeep Experimental</v>
          </cell>
          <cell r="R22" t="str">
            <v>CPB</v>
          </cell>
          <cell r="S22" t="str">
            <v>P275</v>
          </cell>
          <cell r="BN22" t="str">
            <v>T202 - Genes Package</v>
          </cell>
          <cell r="BO22" t="str">
            <v>Genes Package Fixed cost</v>
          </cell>
          <cell r="BP22" t="str">
            <v>B40/22.P272.422.XXX-T202</v>
          </cell>
          <cell r="BQ22" t="str">
            <v>Fixed - Specific</v>
          </cell>
          <cell r="BR22" t="str">
            <v>422</v>
          </cell>
          <cell r="BS22" t="str">
            <v>B40</v>
          </cell>
          <cell r="BT22" t="str">
            <v>CPB</v>
          </cell>
          <cell r="BU22" t="str">
            <v>Evogene service</v>
          </cell>
          <cell r="BV22" t="str">
            <v>Period</v>
          </cell>
          <cell r="BW22">
            <v>0</v>
          </cell>
          <cell r="CP22" t="str">
            <v>קרן רז</v>
          </cell>
          <cell r="CQ22">
            <v>205</v>
          </cell>
          <cell r="CR22" t="str">
            <v>AgPlenus RD</v>
          </cell>
          <cell r="CS22" t="str">
            <v>Computational Chemist</v>
          </cell>
          <cell r="CT22" t="str">
            <v>קרן</v>
          </cell>
          <cell r="CU22" t="str">
            <v>רז</v>
          </cell>
          <cell r="CV22">
            <v>8742.5253279414028</v>
          </cell>
          <cell r="CW22">
            <v>8742.5253279414028</v>
          </cell>
          <cell r="CX22">
            <v>8742.5253279414028</v>
          </cell>
          <cell r="CY22">
            <v>8742.5253279414028</v>
          </cell>
          <cell r="CZ22">
            <v>8742.5253279414028</v>
          </cell>
          <cell r="DA22">
            <v>8742.5253279414028</v>
          </cell>
          <cell r="DB22">
            <v>8742.5253279414028</v>
          </cell>
          <cell r="DC22">
            <v>8742.5253279414028</v>
          </cell>
          <cell r="DD22">
            <v>8742.5253279414028</v>
          </cell>
          <cell r="DE22">
            <v>8742.5253279414028</v>
          </cell>
          <cell r="DF22">
            <v>8742.5253279414028</v>
          </cell>
          <cell r="DG22">
            <v>8742.5253279414028</v>
          </cell>
          <cell r="DH22">
            <v>104910.30393529683</v>
          </cell>
        </row>
        <row r="23">
          <cell r="B23">
            <v>998</v>
          </cell>
          <cell r="C23" t="str">
            <v>Casterra RD</v>
          </cell>
          <cell r="P23" t="str">
            <v>CTO Projects</v>
          </cell>
          <cell r="Q23" t="str">
            <v>P276 - CTO Projects</v>
          </cell>
          <cell r="R23" t="str">
            <v>CPB</v>
          </cell>
          <cell r="S23" t="str">
            <v>P276</v>
          </cell>
          <cell r="BN23" t="str">
            <v>T203 - Microbes Package</v>
          </cell>
          <cell r="BO23" t="str">
            <v>Microbes Package Fixed cost</v>
          </cell>
          <cell r="BP23" t="str">
            <v>B40/22.P273.422.XXX-T203</v>
          </cell>
          <cell r="BQ23" t="str">
            <v>Fixed - Specific</v>
          </cell>
          <cell r="BR23" t="str">
            <v>422</v>
          </cell>
          <cell r="BS23" t="str">
            <v>B40</v>
          </cell>
          <cell r="BT23" t="str">
            <v>CPB</v>
          </cell>
          <cell r="BU23" t="str">
            <v>Evogene service</v>
          </cell>
          <cell r="BV23" t="str">
            <v>Period</v>
          </cell>
          <cell r="BW23">
            <v>0</v>
          </cell>
          <cell r="CP23" t="str">
            <v>רינה סטיטצ'ר</v>
          </cell>
          <cell r="CQ23">
            <v>205</v>
          </cell>
          <cell r="CR23" t="str">
            <v>AgPlenus RD</v>
          </cell>
          <cell r="CS23" t="str">
            <v>Researcher Coordinator</v>
          </cell>
          <cell r="CT23" t="str">
            <v>רינה</v>
          </cell>
          <cell r="CU23" t="str">
            <v>סטיטצ'ר</v>
          </cell>
          <cell r="CV23">
            <v>4123.2403517893172</v>
          </cell>
          <cell r="CW23">
            <v>4123.2403517893172</v>
          </cell>
          <cell r="CX23">
            <v>4123.2403517893172</v>
          </cell>
          <cell r="CY23">
            <v>4123.2403517893172</v>
          </cell>
          <cell r="CZ23">
            <v>4123.2403517893172</v>
          </cell>
          <cell r="DA23">
            <v>4123.2403517893172</v>
          </cell>
          <cell r="DB23">
            <v>4123.2403517893172</v>
          </cell>
          <cell r="DC23">
            <v>4123.2403517893172</v>
          </cell>
          <cell r="DD23">
            <v>4123.2403517893172</v>
          </cell>
          <cell r="DE23">
            <v>4123.2403517893172</v>
          </cell>
          <cell r="DF23">
            <v>4123.2403517893172</v>
          </cell>
          <cell r="DG23">
            <v>4123.2403517893172</v>
          </cell>
          <cell r="DH23">
            <v>49478.88422147181</v>
          </cell>
        </row>
        <row r="24">
          <cell r="B24">
            <v>417</v>
          </cell>
          <cell r="C24" t="str">
            <v>Chemistry Lab</v>
          </cell>
          <cell r="P24" t="str">
            <v>CPB projects Computational</v>
          </cell>
          <cell r="Q24" t="str">
            <v>P279 - CPB projects Computational</v>
          </cell>
          <cell r="R24" t="str">
            <v>CPB</v>
          </cell>
          <cell r="S24" t="str">
            <v>P279</v>
          </cell>
          <cell r="BN24" t="str">
            <v>T204 - Small Molecules</v>
          </cell>
          <cell r="BO24" t="str">
            <v>Small Molecules Fixed cost</v>
          </cell>
          <cell r="BP24" t="str">
            <v>B40/22.P274.422.XXX-T204</v>
          </cell>
          <cell r="BQ24" t="str">
            <v>Fixed - Specific</v>
          </cell>
          <cell r="BR24" t="str">
            <v>422</v>
          </cell>
          <cell r="BS24" t="str">
            <v>B40</v>
          </cell>
          <cell r="BT24" t="str">
            <v>CPB</v>
          </cell>
          <cell r="BU24" t="str">
            <v>Evogene service</v>
          </cell>
          <cell r="BV24" t="str">
            <v>Period</v>
          </cell>
          <cell r="BW24">
            <v>0</v>
          </cell>
          <cell r="CP24" t="str">
            <v>מירב ביימן</v>
          </cell>
          <cell r="CQ24">
            <v>205</v>
          </cell>
          <cell r="CR24" t="str">
            <v>AgPlenus RD</v>
          </cell>
          <cell r="CS24" t="str">
            <v>VP R&amp;D</v>
          </cell>
          <cell r="CT24" t="str">
            <v>מירב</v>
          </cell>
          <cell r="CU24" t="str">
            <v>ביימן</v>
          </cell>
          <cell r="CV24">
            <v>17097.566748305693</v>
          </cell>
          <cell r="CW24">
            <v>17097.566748305693</v>
          </cell>
          <cell r="CX24">
            <v>17097.566748305693</v>
          </cell>
          <cell r="CY24">
            <v>17097.566748305693</v>
          </cell>
          <cell r="CZ24">
            <v>17097.566748305693</v>
          </cell>
          <cell r="DA24">
            <v>17097.566748305693</v>
          </cell>
          <cell r="DB24">
            <v>17097.566748305693</v>
          </cell>
          <cell r="DC24">
            <v>17097.566748305693</v>
          </cell>
          <cell r="DD24">
            <v>17097.566748305693</v>
          </cell>
          <cell r="DE24">
            <v>17097.566748305693</v>
          </cell>
          <cell r="DF24">
            <v>17097.566748305693</v>
          </cell>
          <cell r="DG24">
            <v>17097.566748305693</v>
          </cell>
          <cell r="DH24">
            <v>205170.8009796683</v>
          </cell>
        </row>
        <row r="25">
          <cell r="B25">
            <v>602</v>
          </cell>
          <cell r="C25" t="str">
            <v>Corporate BD</v>
          </cell>
          <cell r="P25" t="str">
            <v>CPB projects Experimental</v>
          </cell>
          <cell r="Q25" t="str">
            <v>P281 - CPB projects Experimental</v>
          </cell>
          <cell r="R25" t="str">
            <v>CPB</v>
          </cell>
          <cell r="S25" t="str">
            <v>P281</v>
          </cell>
          <cell r="BN25" t="str">
            <v>T205 - Labs and GH package</v>
          </cell>
          <cell r="BO25" t="str">
            <v>Labs and GH package Fixed cost</v>
          </cell>
          <cell r="BP25" t="str">
            <v>B40/22.P275.422.XXX-T205</v>
          </cell>
          <cell r="BQ25" t="str">
            <v>Fixed - Specific</v>
          </cell>
          <cell r="BR25" t="str">
            <v>422</v>
          </cell>
          <cell r="BS25" t="str">
            <v>B40</v>
          </cell>
          <cell r="BT25" t="str">
            <v>CPB</v>
          </cell>
          <cell r="BU25" t="str">
            <v>Evogene service</v>
          </cell>
          <cell r="BV25" t="str">
            <v>Period</v>
          </cell>
          <cell r="BW25">
            <v>0</v>
          </cell>
          <cell r="CP25" t="str">
            <v>איריס  נשר</v>
          </cell>
          <cell r="CQ25">
            <v>205</v>
          </cell>
          <cell r="CR25" t="str">
            <v>AgPlenus RD</v>
          </cell>
          <cell r="CS25" t="str">
            <v>Biology team lead</v>
          </cell>
          <cell r="CT25" t="str">
            <v xml:space="preserve">איריס </v>
          </cell>
          <cell r="CU25" t="str">
            <v>נשר</v>
          </cell>
          <cell r="CV25">
            <v>10705.882352941177</v>
          </cell>
          <cell r="CW25">
            <v>10705.882352941177</v>
          </cell>
          <cell r="CX25">
            <v>10705.882352941177</v>
          </cell>
          <cell r="CY25">
            <v>10705.882352941177</v>
          </cell>
          <cell r="CZ25">
            <v>10705.882352941177</v>
          </cell>
          <cell r="DA25">
            <v>10705.882352941177</v>
          </cell>
          <cell r="DB25">
            <v>10705.882352941177</v>
          </cell>
          <cell r="DC25">
            <v>10705.882352941177</v>
          </cell>
          <cell r="DD25">
            <v>10705.882352941177</v>
          </cell>
          <cell r="DE25">
            <v>10705.882352941177</v>
          </cell>
          <cell r="DF25">
            <v>10705.882352941177</v>
          </cell>
          <cell r="DG25">
            <v>10705.882352941177</v>
          </cell>
          <cell r="DH25">
            <v>128470.58823529411</v>
          </cell>
        </row>
        <row r="26">
          <cell r="B26">
            <v>601</v>
          </cell>
          <cell r="C26" t="str">
            <v>Corporate Exec. MGMT</v>
          </cell>
          <cell r="P26" t="str">
            <v>Corteva</v>
          </cell>
          <cell r="Q26" t="str">
            <v>P143 - Corteva</v>
          </cell>
          <cell r="R26" t="str">
            <v>Lavie Bio</v>
          </cell>
          <cell r="S26" t="str">
            <v>P143</v>
          </cell>
          <cell r="BN26" t="str">
            <v>T206 - GR</v>
          </cell>
          <cell r="BW26">
            <v>0</v>
          </cell>
          <cell r="CP26" t="str">
            <v xml:space="preserve"> </v>
          </cell>
          <cell r="DH26">
            <v>1267074.6733520457</v>
          </cell>
        </row>
        <row r="27">
          <cell r="B27">
            <v>411</v>
          </cell>
          <cell r="C27" t="str">
            <v>Data Generation</v>
          </cell>
          <cell r="P27" t="str">
            <v>Corteva - IA</v>
          </cell>
          <cell r="Q27" t="str">
            <v>P145-Corteva - IA</v>
          </cell>
          <cell r="R27" t="str">
            <v>Lavie Bio</v>
          </cell>
          <cell r="S27" t="str">
            <v>P145</v>
          </cell>
          <cell r="BN27" t="str">
            <v>T207 - CP</v>
          </cell>
          <cell r="BW27">
            <v>249467.41664894487</v>
          </cell>
          <cell r="DH27">
            <v>3.0552689362463172</v>
          </cell>
        </row>
        <row r="28">
          <cell r="B28">
            <v>420</v>
          </cell>
          <cell r="C28" t="str">
            <v>DevOps</v>
          </cell>
          <cell r="P28" t="str">
            <v>Thrivus</v>
          </cell>
          <cell r="Q28" t="str">
            <v>P19 - Thrivus</v>
          </cell>
          <cell r="R28" t="str">
            <v>Lavie Bio</v>
          </cell>
          <cell r="S28" t="str">
            <v>P19</v>
          </cell>
          <cell r="BN28" t="str">
            <v>T208 - MB</v>
          </cell>
          <cell r="BW28">
            <v>0</v>
          </cell>
        </row>
        <row r="29">
          <cell r="B29">
            <v>650</v>
          </cell>
          <cell r="C29" t="str">
            <v>Evogene CSO</v>
          </cell>
          <cell r="P29" t="str">
            <v>Lavie_programs</v>
          </cell>
          <cell r="Q29" t="str">
            <v>P192-Lavie programs</v>
          </cell>
          <cell r="R29" t="str">
            <v>Lavie Bio</v>
          </cell>
          <cell r="S29" t="str">
            <v>P192</v>
          </cell>
          <cell r="BN29" t="str">
            <v>T209 - Computational</v>
          </cell>
          <cell r="BW29">
            <v>214652.73115226455</v>
          </cell>
          <cell r="CP29" t="str">
            <v xml:space="preserve">Brian Ember </v>
          </cell>
          <cell r="CQ29">
            <v>201</v>
          </cell>
          <cell r="CR29" t="str">
            <v>AgPlenus Exec. MGMT</v>
          </cell>
          <cell r="CS29" t="str">
            <v>CEO</v>
          </cell>
          <cell r="CT29" t="str">
            <v>Brian Ember</v>
          </cell>
          <cell r="CV29">
            <v>23312.5</v>
          </cell>
          <cell r="CW29">
            <v>23312.5</v>
          </cell>
          <cell r="CX29">
            <v>23312.5</v>
          </cell>
          <cell r="CY29">
            <v>23312.5</v>
          </cell>
          <cell r="CZ29">
            <v>23312.5</v>
          </cell>
          <cell r="DA29">
            <v>23312.5</v>
          </cell>
          <cell r="DB29">
            <v>23312.5</v>
          </cell>
          <cell r="DC29">
            <v>23312.5</v>
          </cell>
          <cell r="DD29">
            <v>23312.5</v>
          </cell>
          <cell r="DE29">
            <v>23312.5</v>
          </cell>
          <cell r="DF29">
            <v>23312.5</v>
          </cell>
          <cell r="DG29">
            <v>23312.5</v>
          </cell>
          <cell r="DH29">
            <v>279750</v>
          </cell>
        </row>
        <row r="30">
          <cell r="B30">
            <v>997</v>
          </cell>
          <cell r="C30" t="str">
            <v>Evogene INC</v>
          </cell>
          <cell r="P30" t="str">
            <v>ICL</v>
          </cell>
          <cell r="Q30" t="str">
            <v>P82 - ICL</v>
          </cell>
          <cell r="R30" t="str">
            <v>Lavie Bio</v>
          </cell>
          <cell r="S30" t="str">
            <v>P82</v>
          </cell>
          <cell r="BN30" t="str">
            <v>T210 - Experimnetal</v>
          </cell>
          <cell r="BW30">
            <v>91228.906136654288</v>
          </cell>
        </row>
        <row r="31">
          <cell r="B31">
            <v>607</v>
          </cell>
          <cell r="C31" t="str">
            <v>Finance</v>
          </cell>
          <cell r="P31" t="str">
            <v>Product-CP</v>
          </cell>
          <cell r="Q31" t="str">
            <v>P264 - Product-CP</v>
          </cell>
          <cell r="R31" t="str">
            <v>Product</v>
          </cell>
          <cell r="S31" t="str">
            <v>P264</v>
          </cell>
          <cell r="BN31" t="str">
            <v>T299 - Margin CPB</v>
          </cell>
          <cell r="BO31" t="str">
            <v>Margin CPB Fixed cost</v>
          </cell>
          <cell r="BP31" t="str">
            <v>B40/22.P997.422.XXX-T299</v>
          </cell>
          <cell r="BQ31" t="str">
            <v>Fixed - Specific</v>
          </cell>
          <cell r="BR31" t="str">
            <v>422</v>
          </cell>
          <cell r="BS31" t="str">
            <v>B40</v>
          </cell>
          <cell r="BT31" t="str">
            <v>CPB</v>
          </cell>
          <cell r="BU31" t="str">
            <v>Evogene service</v>
          </cell>
          <cell r="BV31" t="str">
            <v>Period</v>
          </cell>
          <cell r="BW31">
            <v>0</v>
          </cell>
          <cell r="DH31">
            <v>1546824.6733520457</v>
          </cell>
        </row>
        <row r="32">
          <cell r="B32">
            <v>603</v>
          </cell>
          <cell r="C32" t="str">
            <v>HR</v>
          </cell>
          <cell r="P32" t="str">
            <v>Product- MB</v>
          </cell>
          <cell r="Q32" t="str">
            <v>P265 - Product- MB</v>
          </cell>
          <cell r="R32" t="str">
            <v>Product</v>
          </cell>
          <cell r="S32" t="str">
            <v>P265</v>
          </cell>
          <cell r="BN32" t="str">
            <v>T301 - Green House Controlled</v>
          </cell>
          <cell r="BO32" t="str">
            <v>Green House Controlled Fixed cost  Per annual 50 SQM</v>
          </cell>
          <cell r="BP32" t="str">
            <v>B90/22.P997.425.XXX-T301</v>
          </cell>
          <cell r="BQ32" t="str">
            <v>Annual per unit</v>
          </cell>
          <cell r="BR32" t="str">
            <v>425</v>
          </cell>
          <cell r="BS32" t="str">
            <v>B90</v>
          </cell>
          <cell r="BT32" t="str">
            <v>CPB</v>
          </cell>
          <cell r="BU32" t="str">
            <v>Evogene service</v>
          </cell>
          <cell r="BV32" t="str">
            <v>Period</v>
          </cell>
          <cell r="BW32">
            <v>1250</v>
          </cell>
        </row>
        <row r="33">
          <cell r="B33">
            <v>605</v>
          </cell>
          <cell r="C33" t="str">
            <v>IP</v>
          </cell>
          <cell r="P33" t="str">
            <v>Product- GR</v>
          </cell>
          <cell r="Q33" t="str">
            <v>P266 - Product- GR</v>
          </cell>
          <cell r="R33" t="str">
            <v>Product</v>
          </cell>
          <cell r="S33" t="str">
            <v>P266</v>
          </cell>
          <cell r="BN33" t="str">
            <v>T302 - Green House Non-Controlled</v>
          </cell>
          <cell r="BO33" t="str">
            <v>Green House Non-Controlled Fixed cost  Per annual 200 SQM</v>
          </cell>
          <cell r="BP33" t="str">
            <v>B90/22.P997.425.XXX-T302</v>
          </cell>
          <cell r="BQ33" t="str">
            <v>Annual per unit</v>
          </cell>
          <cell r="BR33" t="str">
            <v>425</v>
          </cell>
          <cell r="BS33" t="str">
            <v>B90</v>
          </cell>
          <cell r="BT33" t="str">
            <v>CPB</v>
          </cell>
          <cell r="BU33" t="str">
            <v>Evogene service</v>
          </cell>
          <cell r="BV33" t="str">
            <v>Period</v>
          </cell>
          <cell r="BW33">
            <v>15527.564860405875</v>
          </cell>
        </row>
        <row r="34">
          <cell r="B34">
            <v>609</v>
          </cell>
          <cell r="C34" t="str">
            <v>IP Part time</v>
          </cell>
          <cell r="P34" t="str">
            <v xml:space="preserve">Product- Upkeep GR </v>
          </cell>
          <cell r="Q34" t="str">
            <v xml:space="preserve">P272 - Product- Upkeep GR </v>
          </cell>
          <cell r="R34" t="str">
            <v>Product</v>
          </cell>
          <cell r="S34" t="str">
            <v>P272</v>
          </cell>
          <cell r="BN34" t="str">
            <v>T303 - Office utilities</v>
          </cell>
          <cell r="BO34" t="str">
            <v>Office utilities Fixed cost</v>
          </cell>
          <cell r="BP34" t="str">
            <v>B90/22.P997.425.XXX-T303</v>
          </cell>
          <cell r="BQ34" t="str">
            <v>Fixed - Specific</v>
          </cell>
          <cell r="BR34" t="str">
            <v>425</v>
          </cell>
          <cell r="BS34" t="str">
            <v>B90</v>
          </cell>
          <cell r="BT34" t="str">
            <v>Corporate</v>
          </cell>
          <cell r="BU34" t="str">
            <v>Evogene service</v>
          </cell>
          <cell r="BV34" t="str">
            <v>Period</v>
          </cell>
          <cell r="BW34">
            <v>91762.1505524721</v>
          </cell>
        </row>
        <row r="35">
          <cell r="B35">
            <v>606</v>
          </cell>
          <cell r="C35" t="str">
            <v>IR\PR</v>
          </cell>
          <cell r="P35" t="str">
            <v xml:space="preserve">Product- Upkeep MB </v>
          </cell>
          <cell r="Q35" t="str">
            <v xml:space="preserve">P273 - Product- Upkeep MB </v>
          </cell>
          <cell r="R35" t="str">
            <v>Product</v>
          </cell>
          <cell r="S35" t="str">
            <v>P273</v>
          </cell>
          <cell r="BN35" t="str">
            <v>T304 - Labs utilities</v>
          </cell>
          <cell r="BO35" t="str">
            <v>Labs utilities Fixed cost</v>
          </cell>
          <cell r="BP35" t="str">
            <v>B90/22.P997.425.XXX-T304</v>
          </cell>
          <cell r="BQ35" t="str">
            <v>Fixed - Specific</v>
          </cell>
          <cell r="BR35" t="str">
            <v>425</v>
          </cell>
          <cell r="BS35" t="str">
            <v>B90</v>
          </cell>
          <cell r="BT35" t="str">
            <v>Corporate</v>
          </cell>
          <cell r="BU35" t="str">
            <v>Evogene service</v>
          </cell>
          <cell r="BV35" t="str">
            <v>Period</v>
          </cell>
          <cell r="BW35">
            <v>68291.633710847542</v>
          </cell>
        </row>
        <row r="36">
          <cell r="B36">
            <v>421</v>
          </cell>
          <cell r="C36" t="str">
            <v>IT</v>
          </cell>
          <cell r="P36" t="str">
            <v xml:space="preserve">Product- Upkeep CP </v>
          </cell>
          <cell r="Q36" t="str">
            <v xml:space="preserve">P274 - Product- Upkeep CP </v>
          </cell>
          <cell r="R36" t="str">
            <v>Product</v>
          </cell>
          <cell r="S36" t="str">
            <v>P274</v>
          </cell>
          <cell r="BN36" t="str">
            <v>T399 - Margin Operation</v>
          </cell>
          <cell r="BO36" t="str">
            <v>Margin Operation Fixed cost</v>
          </cell>
          <cell r="BP36" t="str">
            <v>B90/22.P997.425.XXX-T399</v>
          </cell>
          <cell r="BQ36" t="str">
            <v>Fixed - Specific</v>
          </cell>
          <cell r="BR36" t="str">
            <v>425</v>
          </cell>
          <cell r="BS36" t="str">
            <v>B90</v>
          </cell>
          <cell r="BT36" t="str">
            <v>Corporate</v>
          </cell>
          <cell r="BU36" t="str">
            <v>Evogene service</v>
          </cell>
          <cell r="BV36" t="str">
            <v>Period</v>
          </cell>
          <cell r="BW36">
            <v>0</v>
          </cell>
        </row>
        <row r="37">
          <cell r="B37">
            <v>102</v>
          </cell>
          <cell r="C37" t="str">
            <v>Lavie Bio BD .LTD</v>
          </cell>
          <cell r="P37" t="str">
            <v>CrisprIL_WP1</v>
          </cell>
          <cell r="Q37" t="str">
            <v>P277 - CrisprIL_WP1</v>
          </cell>
          <cell r="R37" t="str">
            <v>Product</v>
          </cell>
          <cell r="S37" t="str">
            <v>P277</v>
          </cell>
          <cell r="BN37" t="str">
            <v>T901 - Finance &amp; Purchasing &amp;D&amp;O</v>
          </cell>
          <cell r="BP37" t="str">
            <v>B90/62.P997.607.XXX-T901</v>
          </cell>
          <cell r="BQ37" t="str">
            <v>Per 1 organic FTE</v>
          </cell>
          <cell r="BR37" t="str">
            <v>607</v>
          </cell>
          <cell r="BS37" t="str">
            <v>B90</v>
          </cell>
          <cell r="BT37" t="str">
            <v>Corporate</v>
          </cell>
          <cell r="BU37" t="str">
            <v>Evogene service</v>
          </cell>
          <cell r="BV37" t="str">
            <v>Period</v>
          </cell>
          <cell r="BW37">
            <v>47700.000000000007</v>
          </cell>
        </row>
        <row r="38">
          <cell r="B38">
            <v>105</v>
          </cell>
          <cell r="C38" t="str">
            <v>Lavie Bio Development .LTD</v>
          </cell>
          <cell r="P38" t="str">
            <v>CrisprIL_WP4</v>
          </cell>
          <cell r="Q38" t="str">
            <v>P278 - CrisprIL_WP4</v>
          </cell>
          <cell r="R38" t="str">
            <v>Product</v>
          </cell>
          <cell r="S38" t="str">
            <v>P278</v>
          </cell>
          <cell r="BN38" t="str">
            <v>T902 - HR</v>
          </cell>
          <cell r="BP38" t="str">
            <v>B90/62.P997.603.XXX-T902</v>
          </cell>
          <cell r="BQ38" t="str">
            <v>Per 1 organic FTE</v>
          </cell>
          <cell r="BR38" t="str">
            <v>603</v>
          </cell>
          <cell r="BS38" t="str">
            <v>B90</v>
          </cell>
          <cell r="BT38" t="str">
            <v>Corporate</v>
          </cell>
          <cell r="BU38" t="str">
            <v>Evogene service</v>
          </cell>
          <cell r="BV38" t="str">
            <v>Period</v>
          </cell>
          <cell r="BW38">
            <v>40280.000000000007</v>
          </cell>
        </row>
        <row r="39">
          <cell r="B39">
            <v>101</v>
          </cell>
          <cell r="C39" t="str">
            <v xml:space="preserve"> Lavie Bio Exec. MGMT</v>
          </cell>
          <cell r="P39" t="str">
            <v>CrisprIL_Prediction</v>
          </cell>
          <cell r="Q39" t="str">
            <v>P280 - CrisprIL_Prediction</v>
          </cell>
          <cell r="R39" t="str">
            <v>Product</v>
          </cell>
          <cell r="S39" t="str">
            <v>P280</v>
          </cell>
          <cell r="BP39" t="str">
            <v>B90/22.P997.608.XXX-T903</v>
          </cell>
          <cell r="BQ39" t="str">
            <v>Per 1 organic FTE</v>
          </cell>
          <cell r="BR39" t="str">
            <v>608</v>
          </cell>
          <cell r="BS39" t="str">
            <v>B90</v>
          </cell>
          <cell r="BT39" t="str">
            <v>Corporate</v>
          </cell>
          <cell r="BU39" t="str">
            <v>Evogene service</v>
          </cell>
          <cell r="BV39" t="str">
            <v>Period</v>
          </cell>
        </row>
        <row r="40">
          <cell r="B40">
            <v>121</v>
          </cell>
          <cell r="C40" t="str">
            <v>Lavie Bio INC</v>
          </cell>
          <cell r="P40" t="str">
            <v>Product general</v>
          </cell>
          <cell r="Q40" t="str">
            <v>P282-Product general</v>
          </cell>
          <cell r="R40" t="str">
            <v>Product</v>
          </cell>
          <cell r="S40" t="str">
            <v>P282</v>
          </cell>
          <cell r="BN40" t="str">
            <v>T904 - IT</v>
          </cell>
          <cell r="BP40" t="str">
            <v>B40/22.P97.421.XXX-T904</v>
          </cell>
          <cell r="BQ40" t="str">
            <v>Per 1 organic FTE</v>
          </cell>
          <cell r="BR40" t="str">
            <v>421</v>
          </cell>
          <cell r="BS40" t="str">
            <v>B40</v>
          </cell>
          <cell r="BT40" t="str">
            <v>CPB</v>
          </cell>
          <cell r="BU40" t="str">
            <v>Evogene service</v>
          </cell>
          <cell r="BV40" t="str">
            <v>Period</v>
          </cell>
        </row>
        <row r="41">
          <cell r="B41">
            <v>123</v>
          </cell>
          <cell r="C41" t="str">
            <v>Lavie Bio INC Admin</v>
          </cell>
          <cell r="P41" t="str">
            <v>Services</v>
          </cell>
          <cell r="Q41" t="str">
            <v>P997 - Services</v>
          </cell>
          <cell r="S41" t="str">
            <v>P997</v>
          </cell>
          <cell r="BN41" t="str">
            <v>T905 - IP</v>
          </cell>
          <cell r="BP41" t="str">
            <v>B90/22.P997.609.XXX-T905</v>
          </cell>
          <cell r="BQ41" t="str">
            <v>Per 1 organic FTE</v>
          </cell>
          <cell r="BR41" t="str">
            <v>609</v>
          </cell>
          <cell r="BS41" t="str">
            <v>B90</v>
          </cell>
          <cell r="BT41" t="str">
            <v>Corporate</v>
          </cell>
          <cell r="BU41" t="str">
            <v>Evogene service</v>
          </cell>
          <cell r="BV41" t="str">
            <v>Period</v>
          </cell>
          <cell r="BW41">
            <v>492.81512513468635</v>
          </cell>
        </row>
        <row r="42">
          <cell r="B42">
            <v>122</v>
          </cell>
          <cell r="C42" t="str">
            <v>Lavie Bio BD .INC</v>
          </cell>
          <cell r="P42" t="str">
            <v>Salaries</v>
          </cell>
          <cell r="Q42" t="str">
            <v>P998 - Salaries</v>
          </cell>
          <cell r="S42" t="str">
            <v>P998</v>
          </cell>
          <cell r="BP42" t="str">
            <v>B90/62.P997.607.XXX-T911</v>
          </cell>
          <cell r="BQ42" t="str">
            <v>Per Company</v>
          </cell>
          <cell r="BR42" t="str">
            <v>607</v>
          </cell>
          <cell r="BS42" t="str">
            <v>B90</v>
          </cell>
          <cell r="BT42" t="str">
            <v>Corporate</v>
          </cell>
          <cell r="BU42" t="str">
            <v>Evogene service</v>
          </cell>
          <cell r="BV42" t="str">
            <v>Period</v>
          </cell>
        </row>
        <row r="43">
          <cell r="B43">
            <v>120</v>
          </cell>
          <cell r="C43" t="str">
            <v>Lavie Bio Management .INC</v>
          </cell>
          <cell r="P43" t="str">
            <v>General</v>
          </cell>
          <cell r="Q43" t="str">
            <v>P999 - General</v>
          </cell>
          <cell r="S43" t="str">
            <v>P999</v>
          </cell>
          <cell r="BN43" t="str">
            <v>T912 - IRPR</v>
          </cell>
          <cell r="BP43" t="str">
            <v>B90/62.P997.606.XXX-T912</v>
          </cell>
          <cell r="BQ43" t="str">
            <v>Fixed - Specific</v>
          </cell>
          <cell r="BR43" t="str">
            <v>606</v>
          </cell>
          <cell r="BS43" t="str">
            <v>B90</v>
          </cell>
          <cell r="BT43" t="str">
            <v>Corporate</v>
          </cell>
          <cell r="BU43" t="str">
            <v>Evogene service</v>
          </cell>
          <cell r="BV43" t="str">
            <v>Period</v>
          </cell>
          <cell r="BW43">
            <v>10500</v>
          </cell>
        </row>
        <row r="44">
          <cell r="B44">
            <v>108</v>
          </cell>
          <cell r="C44" t="str">
            <v>Lavie Bio Micro. Lab</v>
          </cell>
          <cell r="BN44" t="str">
            <v>T914 - Marcom</v>
          </cell>
          <cell r="BW44">
            <v>14000</v>
          </cell>
        </row>
        <row r="45">
          <cell r="B45">
            <v>103</v>
          </cell>
          <cell r="C45" t="str">
            <v>Lavie Bio PM</v>
          </cell>
          <cell r="BN45" t="str">
            <v>T913 - Legal</v>
          </cell>
          <cell r="BP45" t="str">
            <v>B90/62.P997.604.XXX-T913</v>
          </cell>
          <cell r="BQ45" t="str">
            <v>Fixed - Specific</v>
          </cell>
          <cell r="BR45" t="str">
            <v>604</v>
          </cell>
          <cell r="BS45" t="str">
            <v>B90</v>
          </cell>
          <cell r="BT45" t="str">
            <v>Corporate</v>
          </cell>
          <cell r="BU45" t="str">
            <v>Evogene service</v>
          </cell>
          <cell r="BV45" t="str">
            <v>Period</v>
          </cell>
          <cell r="BW45">
            <v>30000</v>
          </cell>
        </row>
        <row r="46">
          <cell r="B46">
            <v>109</v>
          </cell>
          <cell r="C46" t="str">
            <v xml:space="preserve">Lavie Bio Phyto. Lab </v>
          </cell>
          <cell r="BN46" t="str">
            <v>T999 - Margin Corporate</v>
          </cell>
          <cell r="BO46" t="str">
            <v>Margin Corporate Fixed cost</v>
          </cell>
          <cell r="BP46" t="str">
            <v>B90/62.P997.607.XXX-T999</v>
          </cell>
          <cell r="BQ46" t="str">
            <v>Fixed - Specific</v>
          </cell>
          <cell r="BR46" t="str">
            <v>607</v>
          </cell>
          <cell r="BS46" t="str">
            <v>B90</v>
          </cell>
          <cell r="BT46" t="str">
            <v>Corporate</v>
          </cell>
          <cell r="BU46" t="str">
            <v>Evogene service</v>
          </cell>
          <cell r="BV46" t="str">
            <v>Period</v>
          </cell>
          <cell r="BW46">
            <v>0</v>
          </cell>
        </row>
        <row r="47">
          <cell r="B47">
            <v>107</v>
          </cell>
          <cell r="C47" t="str">
            <v>Lavie Bio RD MNG</v>
          </cell>
          <cell r="BN47" t="str">
            <v>E998 - Revenue+Grant</v>
          </cell>
          <cell r="BT47" t="str">
            <v>Revenue+Grant</v>
          </cell>
          <cell r="BU47" t="str">
            <v>External</v>
          </cell>
          <cell r="BW47">
            <v>0</v>
          </cell>
        </row>
        <row r="48">
          <cell r="B48">
            <v>104</v>
          </cell>
          <cell r="C48" t="str">
            <v>Lavie Bio Research .LTD</v>
          </cell>
        </row>
        <row r="49">
          <cell r="B49">
            <v>106</v>
          </cell>
          <cell r="C49" t="str">
            <v>Lavie Bio Systems</v>
          </cell>
        </row>
        <row r="50">
          <cell r="B50">
            <v>604</v>
          </cell>
          <cell r="C50" t="str">
            <v>Legal</v>
          </cell>
        </row>
        <row r="51">
          <cell r="B51">
            <v>413</v>
          </cell>
          <cell r="C51" t="str">
            <v>Molecular Lab</v>
          </cell>
        </row>
        <row r="52">
          <cell r="B52">
            <v>425</v>
          </cell>
          <cell r="C52" t="str">
            <v>Operations</v>
          </cell>
        </row>
        <row r="53">
          <cell r="B53">
            <v>412</v>
          </cell>
          <cell r="C53" t="str">
            <v>PLM</v>
          </cell>
        </row>
        <row r="54">
          <cell r="B54">
            <v>415</v>
          </cell>
          <cell r="C54" t="str">
            <v>Phytopathology Lab</v>
          </cell>
        </row>
        <row r="55">
          <cell r="B55">
            <v>418</v>
          </cell>
          <cell r="C55" t="str">
            <v>Plant Growth</v>
          </cell>
        </row>
        <row r="56">
          <cell r="B56">
            <v>427</v>
          </cell>
          <cell r="C56" t="str">
            <v>Product Management</v>
          </cell>
        </row>
        <row r="57">
          <cell r="B57">
            <v>426</v>
          </cell>
          <cell r="C57" t="str">
            <v>Project Management</v>
          </cell>
        </row>
        <row r="58">
          <cell r="B58">
            <v>608</v>
          </cell>
          <cell r="C58" t="str">
            <v>Purchasing</v>
          </cell>
        </row>
        <row r="59">
          <cell r="B59">
            <v>419</v>
          </cell>
          <cell r="C59" t="str">
            <v>QA</v>
          </cell>
        </row>
        <row r="60">
          <cell r="B60">
            <v>428</v>
          </cell>
          <cell r="C60" t="str">
            <v>Seed Bank</v>
          </cell>
        </row>
        <row r="61">
          <cell r="B61">
            <v>406</v>
          </cell>
          <cell r="C61" t="str">
            <v>Software Development</v>
          </cell>
        </row>
        <row r="62">
          <cell r="B62">
            <v>416</v>
          </cell>
          <cell r="C62" t="str">
            <v>Tissue Culture</v>
          </cell>
        </row>
        <row r="63">
          <cell r="B63">
            <v>111</v>
          </cell>
          <cell r="C63" t="str">
            <v>Lavie Bio COO .LTD</v>
          </cell>
        </row>
        <row r="64">
          <cell r="B64">
            <v>124</v>
          </cell>
          <cell r="C64" t="str">
            <v>Lavie Bio COO .INC</v>
          </cell>
        </row>
        <row r="65">
          <cell r="B65">
            <v>125</v>
          </cell>
          <cell r="C65" t="str">
            <v>Lavie Bio US site</v>
          </cell>
        </row>
        <row r="66">
          <cell r="B66">
            <v>126</v>
          </cell>
          <cell r="C66" t="str">
            <v>Lavie Bio Commercial .LTD</v>
          </cell>
        </row>
        <row r="67">
          <cell r="B67">
            <v>127</v>
          </cell>
          <cell r="C67" t="str">
            <v>Lavie Bio Commercial .INC</v>
          </cell>
        </row>
        <row r="68">
          <cell r="B68">
            <v>128</v>
          </cell>
          <cell r="C68" t="str">
            <v>Lavie Bio Development .INC</v>
          </cell>
        </row>
        <row r="69">
          <cell r="B69">
            <v>129</v>
          </cell>
          <cell r="C69" t="str">
            <v>Lavie Bio Research .INC</v>
          </cell>
        </row>
        <row r="70">
          <cell r="B70">
            <v>130</v>
          </cell>
          <cell r="C70" t="str">
            <v>Lavie Bio Field Dev.LTD</v>
          </cell>
        </row>
        <row r="71">
          <cell r="B71">
            <v>131</v>
          </cell>
          <cell r="C71" t="str">
            <v>Lavie Bio Field Dev. .INC</v>
          </cell>
        </row>
        <row r="72">
          <cell r="B72">
            <v>132</v>
          </cell>
          <cell r="C72" t="str">
            <v>Lavie Bio Micro. Lab .LTD</v>
          </cell>
        </row>
        <row r="73">
          <cell r="B73">
            <v>133</v>
          </cell>
          <cell r="C73" t="str">
            <v>Lavie Bio Micro. Lab .INC</v>
          </cell>
        </row>
      </sheetData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yalty Rate"/>
      <sheetName val="Comp Analysis"/>
      <sheetName val="Comp Margins"/>
      <sheetName val="Comp Summaries"/>
      <sheetName val="App I-Summary"/>
      <sheetName val="App II-Trade Secrets"/>
      <sheetName val="App III-ASML Non-Comp "/>
      <sheetName val="App V - Trade Name"/>
      <sheetName val="App IV-Backlog"/>
      <sheetName val="App VI - Kincade Non-Comp"/>
      <sheetName val="App VII-Wrkfrce Summary"/>
      <sheetName val="App VII- Inefficiency Costs"/>
      <sheetName val="App VIII-WACC"/>
      <sheetName val="App IX-Tax Ben"/>
      <sheetName val="App X-Capital Charges"/>
      <sheetName val="APP X - Management Projections"/>
      <sheetName val="APP - XI Depreciation Schedule"/>
      <sheetName val=" -- Internal Purposes Only--"/>
      <sheetName val=" NIF Contract"/>
      <sheetName val="Workforce Data"/>
      <sheetName val="BalanceSheet"/>
      <sheetName val="2002 Backlog"/>
      <sheetName val="Assumptions"/>
      <sheetName val="2001 Performance"/>
      <sheetName val="Consider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 Budget"/>
      <sheetName val="2018 budget"/>
      <sheetName val="BOD Div"/>
      <sheetName val="SalaryPivot"/>
      <sheetName val="Fixed Salary"/>
      <sheetName val="Salaries"/>
      <sheetName val="SOW_Pivot"/>
      <sheetName val="Fixed SOW"/>
      <sheetName val="Pivot"/>
      <sheetName val="FTE Yuval"/>
      <sheetName val="Fixed Pivot"/>
      <sheetName val="PL"/>
      <sheetName val="OpenItems"/>
      <sheetName val="DataConsol"/>
      <sheetName val="Param"/>
      <sheetName val="SOW"/>
      <sheetName val="ExecMNGM "/>
      <sheetName val="Platform"/>
      <sheetName val="NotProjectExp"/>
      <sheetName val="Finance"/>
      <sheetName val="Operations"/>
      <sheetName val="operations Tal"/>
      <sheetName val="IR_PR"/>
      <sheetName val="HRADMIN"/>
      <sheetName val="Legal"/>
      <sheetName val="BD"/>
      <sheetName val="IP"/>
      <sheetName val="Inc"/>
      <sheetName val="Evofuel"/>
      <sheetName val="Biomica"/>
      <sheetName val="Cannabis"/>
      <sheetName val="CapEx"/>
      <sheetName val="Revenues"/>
      <sheetName val="Summary"/>
      <sheetName val="TopDown"/>
      <sheetName val="2018 Budget - Approved by the B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Company</v>
          </cell>
        </row>
      </sheetData>
      <sheetData sheetId="6"/>
      <sheetData sheetId="7"/>
      <sheetData sheetId="8">
        <row r="10">
          <cell r="B10" t="str">
            <v>Project Num Final</v>
          </cell>
        </row>
      </sheetData>
      <sheetData sheetId="9"/>
      <sheetData sheetId="10"/>
      <sheetData sheetId="11">
        <row r="86">
          <cell r="A86">
            <v>0</v>
          </cell>
        </row>
      </sheetData>
      <sheetData sheetId="12"/>
      <sheetData sheetId="13"/>
      <sheetData sheetId="14">
        <row r="3">
          <cell r="BC3">
            <v>3.55</v>
          </cell>
        </row>
      </sheetData>
      <sheetData sheetId="15"/>
      <sheetData sheetId="16"/>
      <sheetData sheetId="17">
        <row r="57">
          <cell r="V57">
            <v>258800</v>
          </cell>
        </row>
      </sheetData>
      <sheetData sheetId="18"/>
      <sheetData sheetId="19">
        <row r="28">
          <cell r="T28">
            <v>1082132.206733248</v>
          </cell>
        </row>
      </sheetData>
      <sheetData sheetId="20">
        <row r="37">
          <cell r="T37">
            <v>1669716.6988143406</v>
          </cell>
        </row>
      </sheetData>
      <sheetData sheetId="21"/>
      <sheetData sheetId="22">
        <row r="15">
          <cell r="T15">
            <v>297514.74222791294</v>
          </cell>
        </row>
      </sheetData>
      <sheetData sheetId="23">
        <row r="30">
          <cell r="T30">
            <v>404644.50946863001</v>
          </cell>
        </row>
      </sheetData>
      <sheetData sheetId="24">
        <row r="14">
          <cell r="T14">
            <v>440307.39924711909</v>
          </cell>
        </row>
      </sheetData>
      <sheetData sheetId="25">
        <row r="11">
          <cell r="T11">
            <v>239999.99877080668</v>
          </cell>
        </row>
      </sheetData>
      <sheetData sheetId="26">
        <row r="13">
          <cell r="T13">
            <v>139046.91926799537</v>
          </cell>
        </row>
      </sheetData>
      <sheetData sheetId="27">
        <row r="12">
          <cell r="T12">
            <v>32900</v>
          </cell>
        </row>
      </sheetData>
      <sheetData sheetId="28">
        <row r="23">
          <cell r="T23">
            <v>-180832.55390627397</v>
          </cell>
        </row>
      </sheetData>
      <sheetData sheetId="29"/>
      <sheetData sheetId="30">
        <row r="10">
          <cell r="T10">
            <v>22696.344229620143</v>
          </cell>
        </row>
      </sheetData>
      <sheetData sheetId="31"/>
      <sheetData sheetId="32"/>
      <sheetData sheetId="33"/>
      <sheetData sheetId="34"/>
      <sheetData sheetId="3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Careinsite Inc"/>
      <sheetName val="Earthweb Inc"/>
      <sheetName val="Internet.com Corp"/>
      <sheetName val="Iturf Inc"/>
      <sheetName val="Mediconsult.com Inc"/>
      <sheetName val="Nettaxi Inc"/>
      <sheetName val="Talk City Inc"/>
      <sheetName val="Theglobe.com"/>
      <sheetName val="Verticalnet Inc"/>
      <sheetName val="Koz.com"/>
      <sheetName val="Summary"/>
      <sheetName val="Mult-LTM (adj)"/>
      <sheetName val="Mult-LTM"/>
      <sheetName val="Mult-3yr"/>
      <sheetName val="Mult-3yr (adj)"/>
      <sheetName val="General Dialog"/>
      <sheetName val="Comps Dialog"/>
      <sheetName val="KeyMultInputs"/>
      <sheetName val="Mar&amp;GrowthAnaly"/>
      <sheetName val="Size_Growth_Adj"/>
      <sheetName val="Proj. Financials"/>
      <sheetName val="Ratio Analy"/>
      <sheetName val="Common_BS"/>
      <sheetName val="Common_IS"/>
      <sheetName val="FSEdit Dialog"/>
      <sheetName val="Mult Dialog"/>
      <sheetName val="Exb&amp;WP Dialog"/>
      <sheetName val="Comp_Mult"/>
      <sheetName val="Std Fin Template"/>
      <sheetName val="Comp_Desc"/>
      <sheetName val="key_inputs"/>
      <sheetName val="CAPM - Cosmetics Industry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Summary"/>
      <sheetName val="Mult-LTM"/>
      <sheetName val="Mult-3yr"/>
      <sheetName val="Mult-LTM (adj)"/>
      <sheetName val="Mult-3yr (adj)"/>
      <sheetName val="General Dialog"/>
      <sheetName val="Comps Dialog"/>
      <sheetName val="KeyMultInputs"/>
      <sheetName val="Mar&amp;GrowthAnaly"/>
      <sheetName val="Size_Growth_Adj"/>
      <sheetName val="Proj. Financials"/>
      <sheetName val="Ratio Analy"/>
      <sheetName val="Common_BS"/>
      <sheetName val="Common_IS"/>
      <sheetName val="FSEdit Dialog"/>
      <sheetName val="Mult Dialog"/>
      <sheetName val="Exb&amp;WP Dialog"/>
      <sheetName val="Comp_Mult"/>
      <sheetName val="Std Fin Template"/>
      <sheetName val="Comp_Desc"/>
      <sheetName val="key_inputs"/>
      <sheetName val="Module1"/>
      <sheetName val="MCM Model02_021"/>
      <sheetName val="AAR Corp."/>
      <sheetName val="Aerosonic Corp."/>
      <sheetName val="BE Aerospace"/>
      <sheetName val="DRS Technologies"/>
      <sheetName val="Ducommun Inc."/>
      <sheetName val="Goodrich Corp."/>
      <sheetName val="Innovative Solutions and Suppor"/>
      <sheetName val="PEMCO Aviation Group"/>
      <sheetName val="Triumph Group"/>
      <sheetName val="Goodrich Corporation"/>
      <sheetName val="forecast_rates"/>
      <sheetName val="Segment3 Department"/>
      <sheetName val="Segment2 Account"/>
      <sheetName val="Segment1 Company"/>
      <sheetName val="Segment5 Region"/>
      <sheetName val="Abercrombie &amp; Fitch Company"/>
      <sheetName val="American Eagle Outfitters, Inc."/>
      <sheetName val="Charlotte Russe Holding Inc."/>
      <sheetName val="Claire's Stores, Inc."/>
      <sheetName val="Hot Topic, Inc."/>
      <sheetName val="Pacific Sunwear of California, "/>
      <sheetName val="The Wet Seal, Inc."/>
      <sheetName val="Too, Inc."/>
      <sheetName val="Urban Outfitters, Inc."/>
      <sheetName val="Wilsons The Leather Experts Inc"/>
      <sheetName val="Genesco Inc."/>
      <sheetName val="AW"/>
      <sheetName val="RSG"/>
      <sheetName val="Instructions"/>
      <sheetName val="2003 Pr Fcst"/>
      <sheetName val="ROA 96"/>
      <sheetName val="p&amp;l"/>
      <sheetName val="Brains"/>
      <sheetName val="INPUT"/>
      <sheetName val="Cover"/>
      <sheetName val="Japan"/>
      <sheetName val="Coverpage"/>
      <sheetName val="Key Info. for the Model"/>
      <sheetName val="Sheet1"/>
      <sheetName val="Assumptions"/>
      <sheetName val="Cntmrs-Recruit"/>
      <sheetName val="WP_Hist ABC"/>
      <sheetName val="A"/>
      <sheetName val="Reference"/>
      <sheetName val="ago 08 refazer"/>
      <sheetName val="MOD UNIT BICOS"/>
      <sheetName val="RESUMO"/>
      <sheetName val="IS Summary-96"/>
      <sheetName val="MPC by prod"/>
      <sheetName val="MPC service"/>
      <sheetName val="PV Graph Data"/>
      <sheetName val="BEC"/>
      <sheetName val="DX Recurring Reve_2011"/>
      <sheetName val="US DX 2011"/>
      <sheetName val="Minimum Purchase "/>
      <sheetName val="Incremental to 2022"/>
      <sheetName val="US IA 2011"/>
      <sheetName val="US Chem 2011"/>
      <sheetName val="BC do Brazil"/>
      <sheetName val="Sheet2"/>
      <sheetName val="MPC Service unit-account"/>
      <sheetName val="MPC Sales unit-product"/>
      <sheetName val="Fee Schedule"/>
      <sheetName val="Comparison"/>
      <sheetName val="Selection Menu"/>
      <sheetName val="Country Names"/>
      <sheetName val="Going Concern"/>
      <sheetName val="AIZ BWA"/>
      <sheetName val="INMT MSX"/>
      <sheetName val="DCF (Heavy Cap Ex)"/>
      <sheetName val="Heads"/>
      <sheetName val="Income"/>
      <sheetName val="EPS analysis"/>
      <sheetName val="Control"/>
      <sheetName val="Days"/>
      <sheetName val="CvrPge"/>
      <sheetName val="Lists (2)"/>
      <sheetName val="Management Projections"/>
      <sheetName val="CVD GM Report"/>
      <sheetName val="Top20 SOM"/>
      <sheetName val="July Actuals"/>
      <sheetName val="#REF"/>
      <sheetName val="ASM Ranking"/>
      <sheetName val="FX"/>
      <sheetName val="Mult-LTM_(adj)"/>
      <sheetName val="Mult-3yr_(adj)"/>
      <sheetName val="General_Dialog"/>
      <sheetName val="Comps_Dialog"/>
      <sheetName val="Proj__Financials"/>
      <sheetName val="Ratio_Analy"/>
      <sheetName val="FSEdit_Dialog"/>
      <sheetName val="Mult_Dialog"/>
      <sheetName val="Exb&amp;WP_Dialog"/>
      <sheetName val="Std_Fin_Template"/>
      <sheetName val="WP_Hist_ABC"/>
      <sheetName val="MCM_Model02_021"/>
      <sheetName val="ago_08_refazer"/>
      <sheetName val="MOD_UNIT_BICOS"/>
      <sheetName val="IS_Summary-96"/>
      <sheetName val="MPC_by_prod"/>
      <sheetName val="MPC_service"/>
      <sheetName val="PV_Graph_Data"/>
      <sheetName val="DX_Recurring_Reve_2011"/>
      <sheetName val="US_DX_2011"/>
      <sheetName val="Minimum_Purchase_"/>
      <sheetName val="Incremental_to_2022"/>
      <sheetName val="US_IA_2011"/>
      <sheetName val="US_Chem_2011"/>
      <sheetName val="BC_do_Brazil"/>
      <sheetName val="AAR_Corp_"/>
      <sheetName val="Aerosonic_Corp_"/>
      <sheetName val="BE_Aerospace"/>
      <sheetName val="DRS_Technologies"/>
      <sheetName val="Ducommun_Inc_"/>
      <sheetName val="Goodrich_Corp_"/>
      <sheetName val="Innovative_Solutions_and_Suppor"/>
      <sheetName val="PEMCO_Aviation_Group"/>
      <sheetName val="Triumph_Group"/>
      <sheetName val="Goodrich_Corporation"/>
      <sheetName val="Abercrombie_&amp;_Fitch_Company"/>
      <sheetName val="American_Eagle_Outfitters,_Inc_"/>
      <sheetName val="Charlotte_Russe_Holding_Inc_"/>
      <sheetName val="Claire's_Stores,_Inc_"/>
      <sheetName val="Hot_Topic,_Inc_"/>
      <sheetName val="Pacific_Sunwear_of_California,_"/>
      <sheetName val="The_Wet_Seal,_Inc_"/>
      <sheetName val="Too,_Inc_"/>
      <sheetName val="Urban_Outfitters,_Inc_"/>
      <sheetName val="Wilsons_The_Leather_Experts_Inc"/>
      <sheetName val="Genesco_Inc_"/>
      <sheetName val="MPC_Service_unit-account"/>
      <sheetName val="MPC_Sales_unit-product"/>
      <sheetName val="Fee_Schedule"/>
      <sheetName val="Selection_Menu"/>
      <sheetName val="Country_Names"/>
      <sheetName val="2003_Pr_Fcst"/>
      <sheetName val="Going_Concern"/>
      <sheetName val="AIZ_BWA"/>
      <sheetName val="INMT_MSX"/>
      <sheetName val="DCF_(Heavy_Cap_Ex)"/>
      <sheetName val="EPS_analysis"/>
      <sheetName val="Key_Info__for_the_Model"/>
      <sheetName val="ROA_96"/>
      <sheetName val="HC and T&amp;E"/>
      <sheetName val="Comp Analy "/>
      <sheetName val="Comps Data"/>
      <sheetName val="YTD Forecast vs Budget 2012"/>
      <sheetName val="P&amp;L Forecast Summary"/>
      <sheetName val="P&amp;L Budget Summary"/>
      <sheetName val="Download"/>
      <sheetName val="Move_9.19.12"/>
      <sheetName val="Campaign Prod Cost Forecast"/>
      <sheetName val="Staffing Forecast"/>
      <sheetName val="CMC Relocation Costs"/>
      <sheetName val="Music Library Forecast"/>
      <sheetName val="RTL 2012 Forecast"/>
      <sheetName val="RTL 2012 Actuals"/>
      <sheetName val="CTL 2012 Forecast"/>
      <sheetName val="CTL 2012 Actuals"/>
      <sheetName val="2012 ISU Grand Prix Forecast"/>
      <sheetName val="2012 IRB Rugby Sevens Forecast"/>
      <sheetName val="2012 IRB Rugby Sevens Actuals"/>
      <sheetName val="2012 Women's Soccer Forecast"/>
      <sheetName val="2012 Women's Soccer Actuals"/>
      <sheetName val="2012 AIBA Boxing Forecast"/>
      <sheetName val="Staff Increases"/>
      <sheetName val="Sales Integration Forecast"/>
      <sheetName val="T&amp;E - Consultant Forecast"/>
      <sheetName val="T&amp;E - Employee Forecast"/>
      <sheetName val="SBU Ext+Int"/>
      <sheetName val="WC"/>
      <sheetName val="Journal CON"/>
      <sheetName val="Macro1"/>
      <sheetName val="Stock Option Exercised (03)"/>
      <sheetName val="master"/>
      <sheetName val="Valuation 2"/>
      <sheetName val="Rooms Summary Rs"/>
      <sheetName val="ValuationInput"/>
      <sheetName val="Storage"/>
      <sheetName val="ValuationSummary"/>
      <sheetName val="Rabinek Page"/>
      <sheetName val="HL IRR"/>
      <sheetName val="HL Company Summary"/>
      <sheetName val="Gen Ass"/>
      <sheetName val="Creations"/>
      <sheetName val="FE 05"/>
      <sheetName val="FE06"/>
      <sheetName val="FinAdm05"/>
      <sheetName val="FinAdm06"/>
      <sheetName val="SigSel05"/>
      <sheetName val="SigSel06"/>
      <sheetName val="USOps05"/>
      <sheetName val="USOps06"/>
      <sheetName val="Tustin"/>
      <sheetName val="Costa Mesa"/>
      <sheetName val="CovModel"/>
      <sheetName val="Notes"/>
      <sheetName val="OtherHiddenData"/>
      <sheetName val="Price Index"/>
      <sheetName val="Historical IS"/>
      <sheetName val=""/>
      <sheetName val="COST ROLL"/>
      <sheetName val="Framfall"/>
      <sheetName val="Variables"/>
      <sheetName val="Control Sheet"/>
      <sheetName val="Balance Sheet"/>
      <sheetName val="FN3. EPS"/>
      <sheetName val="Quarterly Income Statements"/>
      <sheetName val="FN 8. Comp Inc"/>
      <sheetName val="FAB별"/>
      <sheetName val="O4 - Deferred"/>
    </sheetNames>
    <sheetDataSet>
      <sheetData sheetId="0" refreshError="1">
        <row r="1">
          <cell r="AB1">
            <v>0</v>
          </cell>
        </row>
        <row r="8">
          <cell r="G8" t="str">
            <v>US Dollar/USD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b V.1_Summary"/>
      <sheetName val="Exb V.2_DCF Model"/>
      <sheetName val="Exb V.3_Assumptions"/>
      <sheetName val="Exb V.4_Cash Taxes"/>
      <sheetName val="Exb V.5_Tax Depr."/>
      <sheetName val="Exb V.6_Proj BS"/>
      <sheetName val="Exb V.7_Proj CF"/>
      <sheetName val="WP_Hist ABC"/>
      <sheetName val="Inv Cap"/>
      <sheetName val="Issues to Fix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 Budget"/>
      <sheetName val="2018 budget"/>
      <sheetName val="BOD Div"/>
      <sheetName val="SalaryPivot"/>
      <sheetName val="Fixed Salary"/>
      <sheetName val="Salaries"/>
      <sheetName val="SOW_Pivot"/>
      <sheetName val="Fixed SOW"/>
      <sheetName val="Pivot"/>
      <sheetName val="FTE Yuval"/>
      <sheetName val="Fixed Pivot"/>
      <sheetName val="PL"/>
      <sheetName val="OpenItems"/>
      <sheetName val="DataConsol"/>
      <sheetName val="Param"/>
      <sheetName val="SOW"/>
      <sheetName val="ExecMNGM "/>
      <sheetName val="Platform"/>
      <sheetName val="NotProjectExp"/>
      <sheetName val="Finance"/>
      <sheetName val="Operations"/>
      <sheetName val="operations Tal"/>
      <sheetName val="IR_PR"/>
      <sheetName val="HRADMIN"/>
      <sheetName val="Legal"/>
      <sheetName val="BD"/>
      <sheetName val="IP"/>
      <sheetName val="Inc"/>
      <sheetName val="Evofuel"/>
      <sheetName val="Biomica"/>
      <sheetName val="Cannabis"/>
      <sheetName val="CapEx"/>
      <sheetName val="Revenues"/>
      <sheetName val="Summary"/>
      <sheetName val="TopDown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Company</v>
          </cell>
          <cell r="B2" t="str">
            <v>Project</v>
          </cell>
          <cell r="C2" t="str">
            <v>Budget Type</v>
          </cell>
          <cell r="D2" t="str">
            <v>Division</v>
          </cell>
          <cell r="E2" t="str">
            <v>Department (Fin)</v>
          </cell>
          <cell r="F2" t="str">
            <v>Emp. ID</v>
          </cell>
          <cell r="G2" t="str">
            <v>Full Name</v>
          </cell>
          <cell r="H2" t="str">
            <v>FTE Monthly</v>
          </cell>
          <cell r="I2" t="str">
            <v>Gross Salary - Actual FTE</v>
          </cell>
          <cell r="J2" t="str">
            <v>Car dedction</v>
          </cell>
          <cell r="K2" t="str">
            <v>Net Gross Full time</v>
          </cell>
          <cell r="L2" t="str">
            <v>Ins+gifts+meals</v>
          </cell>
          <cell r="M2" t="str">
            <v>Travel</v>
          </cell>
          <cell r="N2" t="str">
            <v>Convalescence Pay</v>
          </cell>
          <cell r="O2" t="str">
            <v>vacation</v>
          </cell>
          <cell r="P2" t="str">
            <v>Tel</v>
          </cell>
          <cell r="Q2" t="str">
            <v>Pention Funds</v>
          </cell>
          <cell r="R2" t="str">
            <v xml:space="preserve">social insurance b.leumi </v>
          </cell>
          <cell r="S2" t="str">
            <v>Severance</v>
          </cell>
          <cell r="T2" t="str">
            <v>Education Fund</v>
          </cell>
          <cell r="U2" t="str">
            <v>Disability</v>
          </cell>
          <cell r="V2" t="str">
            <v>Bonus</v>
          </cell>
          <cell r="W2" t="str">
            <v>Car</v>
          </cell>
          <cell r="X2" t="str">
            <v>Fuel</v>
          </cell>
          <cell r="Y2" t="str">
            <v>Employer Cost for Full Time</v>
          </cell>
          <cell r="Z2" t="str">
            <v>yy</v>
          </cell>
          <cell r="AA2" t="str">
            <v>1/2018 FTE</v>
          </cell>
          <cell r="AB2" t="str">
            <v>2/2018 FTE</v>
          </cell>
          <cell r="AC2" t="str">
            <v>3/2018 FTE</v>
          </cell>
          <cell r="AD2" t="str">
            <v>4/2018 FTE</v>
          </cell>
          <cell r="AE2" t="str">
            <v>5/2018 FTE</v>
          </cell>
          <cell r="AF2" t="str">
            <v>6/2018 FTE</v>
          </cell>
          <cell r="AG2" t="str">
            <v>7/2018 FTE</v>
          </cell>
          <cell r="AH2" t="str">
            <v>8/2018 FTE</v>
          </cell>
          <cell r="AI2" t="str">
            <v>9/2018 FTE</v>
          </cell>
          <cell r="AJ2" t="str">
            <v>10/2018 FTE</v>
          </cell>
          <cell r="AK2" t="str">
            <v>11/2018 FTE</v>
          </cell>
          <cell r="AL2" t="str">
            <v>12/2018 FTE</v>
          </cell>
          <cell r="AM2" t="str">
            <v>FTE</v>
          </cell>
          <cell r="AN2" t="str">
            <v>1/2018 USD</v>
          </cell>
          <cell r="AO2" t="str">
            <v>2/2018 USD</v>
          </cell>
          <cell r="AP2" t="str">
            <v>3/2018 USD</v>
          </cell>
          <cell r="AQ2" t="str">
            <v>4/2018 USD</v>
          </cell>
          <cell r="AR2" t="str">
            <v>5/2018 USD</v>
          </cell>
          <cell r="AS2" t="str">
            <v>6/2018 USD</v>
          </cell>
          <cell r="AT2" t="str">
            <v>7/2018 USD</v>
          </cell>
          <cell r="AU2" t="str">
            <v>8/2018 USD</v>
          </cell>
          <cell r="AV2" t="str">
            <v>9/2018 USD</v>
          </cell>
          <cell r="AW2" t="str">
            <v>10/2018 USD</v>
          </cell>
          <cell r="AX2" t="str">
            <v>11/2018 USD</v>
          </cell>
          <cell r="AY2" t="str">
            <v>12/2018 USD</v>
          </cell>
          <cell r="AZ2" t="str">
            <v>$$</v>
          </cell>
        </row>
        <row r="3">
          <cell r="A3" t="str">
            <v>EVOGENE</v>
          </cell>
          <cell r="B3"/>
          <cell r="C3" t="str">
            <v>SOW - Div</v>
          </cell>
          <cell r="D3" t="str">
            <v>Ag-Biologicals</v>
          </cell>
          <cell r="E3" t="str">
            <v>Ag-Bio development</v>
          </cell>
          <cell r="F3">
            <v>11952058</v>
          </cell>
          <cell r="G3" t="str">
            <v>Yossi Singer</v>
          </cell>
          <cell r="H3">
            <v>1</v>
          </cell>
          <cell r="I3">
            <v>24000</v>
          </cell>
          <cell r="J3">
            <v>0</v>
          </cell>
          <cell r="K3">
            <v>24000</v>
          </cell>
          <cell r="L3">
            <v>813</v>
          </cell>
          <cell r="M3">
            <v>401.88</v>
          </cell>
          <cell r="N3">
            <v>189</v>
          </cell>
          <cell r="O3">
            <v>454.54545454545456</v>
          </cell>
          <cell r="P3">
            <v>0</v>
          </cell>
          <cell r="Q3">
            <v>1560</v>
          </cell>
          <cell r="R3">
            <v>1709.4229090909093</v>
          </cell>
          <cell r="S3">
            <v>2000</v>
          </cell>
          <cell r="T3">
            <v>1800</v>
          </cell>
          <cell r="U3">
            <v>136.80000000000001</v>
          </cell>
          <cell r="V3">
            <v>1149.9999999999998</v>
          </cell>
          <cell r="W3">
            <v>0</v>
          </cell>
          <cell r="X3">
            <v>0</v>
          </cell>
          <cell r="Y3">
            <v>34214.64836363637</v>
          </cell>
          <cell r="Z3"/>
          <cell r="AA3">
            <v>1</v>
          </cell>
          <cell r="AB3">
            <v>1</v>
          </cell>
          <cell r="AC3">
            <v>1</v>
          </cell>
          <cell r="AD3">
            <v>1</v>
          </cell>
          <cell r="AE3">
            <v>1</v>
          </cell>
          <cell r="AF3">
            <v>1</v>
          </cell>
          <cell r="AG3">
            <v>1</v>
          </cell>
          <cell r="AH3">
            <v>1</v>
          </cell>
          <cell r="AI3">
            <v>1</v>
          </cell>
          <cell r="AJ3">
            <v>1</v>
          </cell>
          <cell r="AK3">
            <v>1</v>
          </cell>
          <cell r="AL3">
            <v>1</v>
          </cell>
          <cell r="AM3"/>
          <cell r="AN3">
            <v>9637.9291165172872</v>
          </cell>
          <cell r="AO3">
            <v>9637.9291165172872</v>
          </cell>
          <cell r="AP3">
            <v>9637.9291165172872</v>
          </cell>
          <cell r="AQ3">
            <v>9637.9291165172872</v>
          </cell>
          <cell r="AR3">
            <v>9637.9291165172872</v>
          </cell>
          <cell r="AS3">
            <v>9637.9291165172872</v>
          </cell>
          <cell r="AT3">
            <v>9637.9291165172872</v>
          </cell>
          <cell r="AU3">
            <v>9637.9291165172872</v>
          </cell>
          <cell r="AV3">
            <v>9637.9291165172872</v>
          </cell>
          <cell r="AW3">
            <v>9637.9291165172872</v>
          </cell>
          <cell r="AX3">
            <v>9637.9291165172872</v>
          </cell>
          <cell r="AY3">
            <v>9637.9291165172872</v>
          </cell>
        </row>
        <row r="4">
          <cell r="A4" t="str">
            <v>EVOGENE</v>
          </cell>
          <cell r="B4"/>
          <cell r="C4" t="str">
            <v>SOW - Div</v>
          </cell>
          <cell r="D4" t="str">
            <v>Ag-Biologicals</v>
          </cell>
          <cell r="E4" t="str">
            <v>Ag-Bio Research</v>
          </cell>
          <cell r="F4">
            <v>22114532</v>
          </cell>
          <cell r="G4" t="str">
            <v>Avital Adato</v>
          </cell>
          <cell r="H4">
            <v>1</v>
          </cell>
          <cell r="I4">
            <v>20000</v>
          </cell>
          <cell r="J4">
            <v>0</v>
          </cell>
          <cell r="K4">
            <v>20000</v>
          </cell>
          <cell r="L4">
            <v>813</v>
          </cell>
          <cell r="M4">
            <v>943.4</v>
          </cell>
          <cell r="N4">
            <v>189</v>
          </cell>
          <cell r="O4">
            <v>378.78787878787881</v>
          </cell>
          <cell r="P4">
            <v>0</v>
          </cell>
          <cell r="Q4">
            <v>1300</v>
          </cell>
          <cell r="R4">
            <v>1444.3550909090911</v>
          </cell>
          <cell r="S4">
            <v>1666.6666666666665</v>
          </cell>
          <cell r="T4">
            <v>1500</v>
          </cell>
          <cell r="U4">
            <v>114</v>
          </cell>
          <cell r="V4">
            <v>958.33333333333337</v>
          </cell>
          <cell r="W4">
            <v>0</v>
          </cell>
          <cell r="X4">
            <v>0</v>
          </cell>
          <cell r="Y4">
            <v>29307.542969696973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</row>
        <row r="5">
          <cell r="A5" t="str">
            <v>EVOGENE</v>
          </cell>
          <cell r="B5"/>
          <cell r="C5" t="str">
            <v>SOW - Div</v>
          </cell>
          <cell r="D5" t="str">
            <v>Ag-Biologicals</v>
          </cell>
          <cell r="E5" t="str">
            <v>Ag-Bio systems</v>
          </cell>
          <cell r="F5">
            <v>25306903</v>
          </cell>
          <cell r="G5" t="str">
            <v>Adi Etzioni</v>
          </cell>
          <cell r="H5">
            <v>1</v>
          </cell>
          <cell r="I5">
            <v>18000</v>
          </cell>
          <cell r="J5">
            <v>0</v>
          </cell>
          <cell r="K5">
            <v>18000</v>
          </cell>
          <cell r="L5">
            <v>813</v>
          </cell>
          <cell r="M5">
            <v>943.4</v>
          </cell>
          <cell r="N5">
            <v>189</v>
          </cell>
          <cell r="O5">
            <v>340.90909090909088</v>
          </cell>
          <cell r="P5">
            <v>0</v>
          </cell>
          <cell r="Q5">
            <v>1170</v>
          </cell>
          <cell r="R5">
            <v>1291.5141818181821</v>
          </cell>
          <cell r="S5">
            <v>1500</v>
          </cell>
          <cell r="T5">
            <v>1350</v>
          </cell>
          <cell r="U5">
            <v>102.60000000000001</v>
          </cell>
          <cell r="V5">
            <v>862.5</v>
          </cell>
          <cell r="W5">
            <v>0</v>
          </cell>
          <cell r="X5">
            <v>0</v>
          </cell>
          <cell r="Y5">
            <v>26562.923272727276</v>
          </cell>
          <cell r="AA5">
            <v>1</v>
          </cell>
          <cell r="AB5">
            <v>1</v>
          </cell>
          <cell r="AC5">
            <v>1</v>
          </cell>
          <cell r="AD5">
            <v>1</v>
          </cell>
          <cell r="AE5">
            <v>1</v>
          </cell>
          <cell r="AF5">
            <v>1</v>
          </cell>
          <cell r="AG5">
            <v>1</v>
          </cell>
          <cell r="AH5">
            <v>1</v>
          </cell>
          <cell r="AI5">
            <v>1</v>
          </cell>
          <cell r="AJ5">
            <v>1</v>
          </cell>
          <cell r="AK5">
            <v>1</v>
          </cell>
          <cell r="AL5">
            <v>1</v>
          </cell>
          <cell r="AN5">
            <v>7482.5135979513452</v>
          </cell>
          <cell r="AO5">
            <v>7482.5135979513452</v>
          </cell>
          <cell r="AP5">
            <v>7482.5135979513452</v>
          </cell>
          <cell r="AQ5">
            <v>7482.5135979513452</v>
          </cell>
          <cell r="AR5">
            <v>7482.5135979513452</v>
          </cell>
          <cell r="AS5">
            <v>7482.5135979513452</v>
          </cell>
          <cell r="AT5">
            <v>7482.5135979513452</v>
          </cell>
          <cell r="AU5">
            <v>7482.5135979513452</v>
          </cell>
          <cell r="AV5">
            <v>7482.5135979513452</v>
          </cell>
          <cell r="AW5">
            <v>7482.5135979513452</v>
          </cell>
          <cell r="AX5">
            <v>7482.5135979513452</v>
          </cell>
          <cell r="AY5">
            <v>7482.5135979513452</v>
          </cell>
        </row>
        <row r="6">
          <cell r="A6" t="str">
            <v>EVOGENE</v>
          </cell>
          <cell r="B6"/>
          <cell r="C6" t="str">
            <v>SOW - Div</v>
          </cell>
          <cell r="D6" t="str">
            <v>Ag-Biologicals</v>
          </cell>
          <cell r="E6" t="str">
            <v>Ag-Bio Research</v>
          </cell>
          <cell r="G6" t="str">
            <v>Phyto. TBR</v>
          </cell>
          <cell r="H6">
            <v>1</v>
          </cell>
          <cell r="I6">
            <v>21500</v>
          </cell>
          <cell r="J6">
            <v>0</v>
          </cell>
          <cell r="K6">
            <v>21500</v>
          </cell>
          <cell r="L6">
            <v>813</v>
          </cell>
          <cell r="M6">
            <v>396.22</v>
          </cell>
          <cell r="N6">
            <v>189</v>
          </cell>
          <cell r="O6">
            <v>407.19696969696969</v>
          </cell>
          <cell r="P6">
            <v>120</v>
          </cell>
          <cell r="Q6">
            <v>1397.5</v>
          </cell>
          <cell r="R6">
            <v>1526.9472727272728</v>
          </cell>
          <cell r="S6">
            <v>1791.6666666666665</v>
          </cell>
          <cell r="T6">
            <v>1612.5</v>
          </cell>
          <cell r="U6">
            <v>122.55000000000001</v>
          </cell>
          <cell r="V6">
            <v>1030.2083333333333</v>
          </cell>
          <cell r="W6">
            <v>0</v>
          </cell>
          <cell r="X6">
            <v>0</v>
          </cell>
          <cell r="Y6">
            <v>30906.789242424242</v>
          </cell>
          <cell r="AA6"/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</row>
        <row r="7">
          <cell r="A7" t="str">
            <v>EVOGENE</v>
          </cell>
          <cell r="B7"/>
          <cell r="C7" t="str">
            <v>SOW - Div</v>
          </cell>
          <cell r="D7" t="str">
            <v>Ag-Biologicals</v>
          </cell>
          <cell r="E7" t="str">
            <v>Ag-Bio systems</v>
          </cell>
          <cell r="F7">
            <v>36000453</v>
          </cell>
          <cell r="G7" t="str">
            <v>Mor Manor</v>
          </cell>
          <cell r="H7">
            <v>1</v>
          </cell>
          <cell r="I7">
            <v>16500</v>
          </cell>
          <cell r="J7">
            <v>0</v>
          </cell>
          <cell r="K7">
            <v>16500</v>
          </cell>
          <cell r="L7">
            <v>813</v>
          </cell>
          <cell r="M7">
            <v>0</v>
          </cell>
          <cell r="N7">
            <v>189</v>
          </cell>
          <cell r="O7">
            <v>312.5</v>
          </cell>
          <cell r="P7">
            <v>0</v>
          </cell>
          <cell r="Q7">
            <v>1072.5</v>
          </cell>
          <cell r="R7">
            <v>1106.1285</v>
          </cell>
          <cell r="S7">
            <v>1375</v>
          </cell>
          <cell r="T7">
            <v>1237.5</v>
          </cell>
          <cell r="U7">
            <v>94.05</v>
          </cell>
          <cell r="V7">
            <v>790.625</v>
          </cell>
          <cell r="W7">
            <v>3568.2796249999992</v>
          </cell>
          <cell r="X7">
            <v>2000</v>
          </cell>
          <cell r="Y7">
            <v>29058.583124999997</v>
          </cell>
          <cell r="AA7">
            <v>1</v>
          </cell>
          <cell r="AB7">
            <v>1</v>
          </cell>
          <cell r="AC7">
            <v>1</v>
          </cell>
          <cell r="AD7">
            <v>1</v>
          </cell>
          <cell r="AE7">
            <v>1</v>
          </cell>
          <cell r="AF7">
            <v>1</v>
          </cell>
          <cell r="AG7">
            <v>1</v>
          </cell>
          <cell r="AH7">
            <v>1</v>
          </cell>
          <cell r="AI7">
            <v>1</v>
          </cell>
          <cell r="AJ7">
            <v>1</v>
          </cell>
          <cell r="AK7">
            <v>1</v>
          </cell>
          <cell r="AL7">
            <v>1</v>
          </cell>
          <cell r="AN7">
            <v>8185.5163732394367</v>
          </cell>
          <cell r="AO7">
            <v>8185.5163732394367</v>
          </cell>
          <cell r="AP7">
            <v>8185.5163732394367</v>
          </cell>
          <cell r="AQ7">
            <v>8185.5163732394367</v>
          </cell>
          <cell r="AR7">
            <v>8185.5163732394367</v>
          </cell>
          <cell r="AS7">
            <v>8185.5163732394367</v>
          </cell>
          <cell r="AT7">
            <v>8185.5163732394367</v>
          </cell>
          <cell r="AU7">
            <v>8185.5163732394367</v>
          </cell>
          <cell r="AV7">
            <v>8185.5163732394367</v>
          </cell>
          <cell r="AW7">
            <v>8185.5163732394367</v>
          </cell>
          <cell r="AX7">
            <v>8185.5163732394367</v>
          </cell>
          <cell r="AY7">
            <v>8185.5163732394367</v>
          </cell>
        </row>
        <row r="8">
          <cell r="A8" t="str">
            <v>EVOGENE</v>
          </cell>
          <cell r="B8"/>
          <cell r="C8" t="str">
            <v>SOW - Div</v>
          </cell>
          <cell r="D8" t="str">
            <v>Ag-Biologicals</v>
          </cell>
          <cell r="E8" t="str">
            <v>Ag-Bio development</v>
          </cell>
          <cell r="F8">
            <v>57788432</v>
          </cell>
          <cell r="G8" t="str">
            <v>Amir Bercovits</v>
          </cell>
          <cell r="H8">
            <v>1</v>
          </cell>
          <cell r="I8">
            <v>31250</v>
          </cell>
          <cell r="J8">
            <v>-1630</v>
          </cell>
          <cell r="K8">
            <v>29620</v>
          </cell>
          <cell r="L8">
            <v>813</v>
          </cell>
          <cell r="M8">
            <v>0</v>
          </cell>
          <cell r="N8">
            <v>189</v>
          </cell>
          <cell r="O8">
            <v>591.85606060606062</v>
          </cell>
          <cell r="P8">
            <v>120</v>
          </cell>
          <cell r="Q8">
            <v>1925.3</v>
          </cell>
          <cell r="R8">
            <v>2120.0802045454543</v>
          </cell>
          <cell r="S8">
            <v>2468.333333333333</v>
          </cell>
          <cell r="T8">
            <v>2221.5</v>
          </cell>
          <cell r="U8">
            <v>168.834</v>
          </cell>
          <cell r="V8">
            <v>1497.3958333333333</v>
          </cell>
          <cell r="W8">
            <v>2000</v>
          </cell>
          <cell r="X8">
            <v>2000</v>
          </cell>
          <cell r="Y8">
            <v>45735.299431818188</v>
          </cell>
          <cell r="AA8">
            <v>1</v>
          </cell>
          <cell r="AB8">
            <v>1</v>
          </cell>
          <cell r="AC8">
            <v>1</v>
          </cell>
          <cell r="AD8">
            <v>1</v>
          </cell>
          <cell r="AE8">
            <v>1</v>
          </cell>
          <cell r="AF8">
            <v>1</v>
          </cell>
          <cell r="AG8">
            <v>1</v>
          </cell>
          <cell r="AH8">
            <v>1</v>
          </cell>
          <cell r="AI8">
            <v>1</v>
          </cell>
          <cell r="AJ8">
            <v>1</v>
          </cell>
          <cell r="AK8">
            <v>1</v>
          </cell>
          <cell r="AL8">
            <v>1</v>
          </cell>
          <cell r="AN8">
            <v>12883.182938540336</v>
          </cell>
          <cell r="AO8">
            <v>12883.182938540336</v>
          </cell>
          <cell r="AP8">
            <v>12883.182938540336</v>
          </cell>
          <cell r="AQ8">
            <v>12883.182938540336</v>
          </cell>
          <cell r="AR8">
            <v>12883.182938540336</v>
          </cell>
          <cell r="AS8">
            <v>12883.182938540336</v>
          </cell>
          <cell r="AT8">
            <v>12883.182938540336</v>
          </cell>
          <cell r="AU8">
            <v>12883.182938540336</v>
          </cell>
          <cell r="AV8">
            <v>12883.182938540336</v>
          </cell>
          <cell r="AW8">
            <v>12883.182938540336</v>
          </cell>
          <cell r="AX8">
            <v>12883.182938540336</v>
          </cell>
          <cell r="AY8">
            <v>12883.182938540336</v>
          </cell>
        </row>
        <row r="9">
          <cell r="A9" t="str">
            <v>EVOGENE</v>
          </cell>
          <cell r="B9"/>
          <cell r="C9" t="str">
            <v>SOW - Div</v>
          </cell>
          <cell r="D9" t="str">
            <v>Ag-Biologicals</v>
          </cell>
          <cell r="E9" t="str">
            <v>Ag-Bio Research</v>
          </cell>
          <cell r="F9">
            <v>60139086</v>
          </cell>
          <cell r="G9" t="str">
            <v>Nir Friedman</v>
          </cell>
          <cell r="H9">
            <v>0.8</v>
          </cell>
          <cell r="I9">
            <v>12500</v>
          </cell>
          <cell r="J9">
            <v>0</v>
          </cell>
          <cell r="K9">
            <v>15625</v>
          </cell>
          <cell r="L9">
            <v>813</v>
          </cell>
          <cell r="M9">
            <v>226.47</v>
          </cell>
          <cell r="N9">
            <v>189</v>
          </cell>
          <cell r="O9">
            <v>236.74242424242422</v>
          </cell>
          <cell r="P9">
            <v>0</v>
          </cell>
          <cell r="Q9">
            <v>1015.625</v>
          </cell>
          <cell r="R9">
            <v>1051.806931818182</v>
          </cell>
          <cell r="S9">
            <v>1302.0833333333333</v>
          </cell>
          <cell r="T9">
            <v>1171.875</v>
          </cell>
          <cell r="U9">
            <v>89.0625</v>
          </cell>
          <cell r="V9">
            <v>748.69791666666663</v>
          </cell>
          <cell r="W9">
            <v>0</v>
          </cell>
          <cell r="X9">
            <v>0</v>
          </cell>
          <cell r="Y9">
            <v>22469.363106060606</v>
          </cell>
          <cell r="AA9">
            <v>0.8</v>
          </cell>
          <cell r="AB9">
            <v>0.8</v>
          </cell>
          <cell r="AC9">
            <v>0.8</v>
          </cell>
          <cell r="AD9">
            <v>0.8</v>
          </cell>
          <cell r="AE9">
            <v>0.8</v>
          </cell>
          <cell r="AF9">
            <v>0.8</v>
          </cell>
          <cell r="AG9">
            <v>0.8</v>
          </cell>
          <cell r="AH9">
            <v>0.8</v>
          </cell>
          <cell r="AI9">
            <v>0.8</v>
          </cell>
          <cell r="AJ9">
            <v>0.8</v>
          </cell>
          <cell r="AK9">
            <v>0.8</v>
          </cell>
          <cell r="AL9">
            <v>0.8</v>
          </cell>
          <cell r="AN9">
            <v>5063.5184464361928</v>
          </cell>
          <cell r="AO9">
            <v>5063.5184464361928</v>
          </cell>
          <cell r="AP9">
            <v>5063.5184464361928</v>
          </cell>
          <cell r="AQ9">
            <v>5063.5184464361928</v>
          </cell>
          <cell r="AR9">
            <v>5063.5184464361928</v>
          </cell>
          <cell r="AS9">
            <v>5063.5184464361928</v>
          </cell>
          <cell r="AT9">
            <v>5063.5184464361928</v>
          </cell>
          <cell r="AU9">
            <v>5063.5184464361928</v>
          </cell>
          <cell r="AV9">
            <v>5063.5184464361928</v>
          </cell>
          <cell r="AW9">
            <v>5063.5184464361928</v>
          </cell>
          <cell r="AX9">
            <v>5063.5184464361928</v>
          </cell>
          <cell r="AY9">
            <v>5063.5184464361928</v>
          </cell>
        </row>
        <row r="10">
          <cell r="A10" t="str">
            <v>EVOGENE</v>
          </cell>
          <cell r="B10"/>
          <cell r="C10" t="str">
            <v>SOW - Div</v>
          </cell>
          <cell r="D10" t="str">
            <v>Ag-Biologicals</v>
          </cell>
          <cell r="E10" t="str">
            <v>Ag-Bio Research</v>
          </cell>
          <cell r="F10">
            <v>301140778</v>
          </cell>
          <cell r="G10" t="str">
            <v>Guy Migdal</v>
          </cell>
          <cell r="H10">
            <v>1</v>
          </cell>
          <cell r="I10">
            <v>11500</v>
          </cell>
          <cell r="J10">
            <v>0</v>
          </cell>
          <cell r="K10">
            <v>11500</v>
          </cell>
          <cell r="L10">
            <v>813</v>
          </cell>
          <cell r="M10">
            <v>877.2</v>
          </cell>
          <cell r="N10">
            <v>189</v>
          </cell>
          <cell r="O10">
            <v>217.80303030303034</v>
          </cell>
          <cell r="P10">
            <v>0</v>
          </cell>
          <cell r="Q10">
            <v>747.5</v>
          </cell>
          <cell r="R10">
            <v>789.81622727272725</v>
          </cell>
          <cell r="S10">
            <v>958.33333333333326</v>
          </cell>
          <cell r="T10">
            <v>862.5</v>
          </cell>
          <cell r="U10">
            <v>65.55</v>
          </cell>
          <cell r="V10">
            <v>551.04166666666663</v>
          </cell>
          <cell r="W10">
            <v>0</v>
          </cell>
          <cell r="X10">
            <v>0</v>
          </cell>
          <cell r="Y10">
            <v>17571.74425757576</v>
          </cell>
          <cell r="AA10">
            <v>1</v>
          </cell>
          <cell r="AB10">
            <v>1</v>
          </cell>
          <cell r="AC10">
            <v>1</v>
          </cell>
          <cell r="AD10">
            <v>1</v>
          </cell>
          <cell r="AE10">
            <v>1</v>
          </cell>
          <cell r="AF10">
            <v>1</v>
          </cell>
          <cell r="AG10">
            <v>1</v>
          </cell>
          <cell r="AH10">
            <v>1</v>
          </cell>
          <cell r="AI10">
            <v>1</v>
          </cell>
          <cell r="AJ10">
            <v>1</v>
          </cell>
          <cell r="AK10">
            <v>1</v>
          </cell>
          <cell r="AL10">
            <v>1</v>
          </cell>
          <cell r="AN10">
            <v>4949.787114810073</v>
          </cell>
          <cell r="AO10">
            <v>4949.787114810073</v>
          </cell>
          <cell r="AP10">
            <v>4949.787114810073</v>
          </cell>
          <cell r="AQ10">
            <v>4949.787114810073</v>
          </cell>
          <cell r="AR10">
            <v>4949.787114810073</v>
          </cell>
          <cell r="AS10">
            <v>4949.787114810073</v>
          </cell>
          <cell r="AT10">
            <v>4949.787114810073</v>
          </cell>
          <cell r="AU10">
            <v>4949.787114810073</v>
          </cell>
          <cell r="AV10">
            <v>4949.787114810073</v>
          </cell>
          <cell r="AW10">
            <v>4949.787114810073</v>
          </cell>
          <cell r="AX10">
            <v>4949.787114810073</v>
          </cell>
          <cell r="AY10">
            <v>4949.787114810073</v>
          </cell>
        </row>
        <row r="11">
          <cell r="A11" t="str">
            <v>EVOGENE</v>
          </cell>
          <cell r="B11"/>
          <cell r="C11" t="str">
            <v>SOW - Div</v>
          </cell>
          <cell r="D11" t="str">
            <v>Ag-Biologicals</v>
          </cell>
          <cell r="E11" t="str">
            <v>Ag-Bio Research</v>
          </cell>
          <cell r="F11">
            <v>24169013</v>
          </cell>
          <cell r="G11" t="str">
            <v>Michal Shoresh</v>
          </cell>
          <cell r="H11">
            <v>1</v>
          </cell>
          <cell r="I11">
            <v>20000</v>
          </cell>
          <cell r="J11">
            <v>0</v>
          </cell>
          <cell r="K11">
            <v>20000</v>
          </cell>
          <cell r="L11">
            <v>813</v>
          </cell>
          <cell r="M11">
            <v>486.79</v>
          </cell>
          <cell r="N11">
            <v>220.5</v>
          </cell>
          <cell r="O11">
            <v>378.78787878787881</v>
          </cell>
          <cell r="P11">
            <v>0</v>
          </cell>
          <cell r="Q11">
            <v>1300</v>
          </cell>
          <cell r="R11">
            <v>1412.471840909091</v>
          </cell>
          <cell r="S11">
            <v>1666.6666666666665</v>
          </cell>
          <cell r="T11">
            <v>1500</v>
          </cell>
          <cell r="U11">
            <v>114</v>
          </cell>
          <cell r="V11">
            <v>958.33333333333337</v>
          </cell>
          <cell r="W11">
            <v>0</v>
          </cell>
          <cell r="X11">
            <v>0</v>
          </cell>
          <cell r="Y11">
            <v>28850.549719696974</v>
          </cell>
          <cell r="AA11">
            <v>1</v>
          </cell>
          <cell r="AB11">
            <v>1</v>
          </cell>
          <cell r="AC11">
            <v>1</v>
          </cell>
          <cell r="AD11">
            <v>1</v>
          </cell>
          <cell r="AE11">
            <v>1</v>
          </cell>
          <cell r="AF11">
            <v>1</v>
          </cell>
          <cell r="AG11">
            <v>1</v>
          </cell>
          <cell r="AH11">
            <v>1</v>
          </cell>
          <cell r="AI11">
            <v>1</v>
          </cell>
          <cell r="AJ11">
            <v>1</v>
          </cell>
          <cell r="AK11">
            <v>1</v>
          </cell>
          <cell r="AL11">
            <v>1</v>
          </cell>
          <cell r="AN11">
            <v>8126.9154139991479</v>
          </cell>
          <cell r="AO11">
            <v>8126.9154139991479</v>
          </cell>
          <cell r="AP11">
            <v>8126.9154139991479</v>
          </cell>
          <cell r="AQ11">
            <v>8126.9154139991479</v>
          </cell>
          <cell r="AR11">
            <v>8126.9154139991479</v>
          </cell>
          <cell r="AS11">
            <v>8126.9154139991479</v>
          </cell>
          <cell r="AT11">
            <v>8126.9154139991479</v>
          </cell>
          <cell r="AU11">
            <v>8126.9154139991479</v>
          </cell>
          <cell r="AV11">
            <v>8126.9154139991479</v>
          </cell>
          <cell r="AW11">
            <v>8126.9154139991479</v>
          </cell>
          <cell r="AX11">
            <v>8126.9154139991479</v>
          </cell>
          <cell r="AY11">
            <v>8126.9154139991479</v>
          </cell>
        </row>
        <row r="12">
          <cell r="A12" t="str">
            <v>EVOGENE</v>
          </cell>
          <cell r="B12"/>
          <cell r="C12" t="str">
            <v>SOW - Div</v>
          </cell>
          <cell r="D12" t="str">
            <v>Ag-Biologicals</v>
          </cell>
          <cell r="E12" t="str">
            <v>Ag-Bio Research</v>
          </cell>
          <cell r="F12">
            <v>25660689</v>
          </cell>
          <cell r="G12" t="str">
            <v>Michael Ionescu</v>
          </cell>
          <cell r="H12">
            <v>1</v>
          </cell>
          <cell r="I12">
            <v>21500</v>
          </cell>
          <cell r="J12">
            <v>0</v>
          </cell>
          <cell r="K12">
            <v>21500</v>
          </cell>
          <cell r="L12">
            <v>813</v>
          </cell>
          <cell r="M12">
            <v>396.22</v>
          </cell>
          <cell r="N12">
            <v>189</v>
          </cell>
          <cell r="O12">
            <v>407.19696969696969</v>
          </cell>
          <cell r="P12">
            <v>120</v>
          </cell>
          <cell r="Q12">
            <v>1397.5</v>
          </cell>
          <cell r="R12">
            <v>1526.9472727272728</v>
          </cell>
          <cell r="S12">
            <v>1791.6666666666665</v>
          </cell>
          <cell r="T12">
            <v>1612.5</v>
          </cell>
          <cell r="U12">
            <v>122.55000000000001</v>
          </cell>
          <cell r="V12">
            <v>1030.2083333333333</v>
          </cell>
          <cell r="W12"/>
          <cell r="X12"/>
          <cell r="Y12">
            <v>30906.789242424242</v>
          </cell>
          <cell r="AA12">
            <v>1</v>
          </cell>
          <cell r="AB12">
            <v>1</v>
          </cell>
          <cell r="AC12">
            <v>1</v>
          </cell>
          <cell r="AD12">
            <v>1</v>
          </cell>
          <cell r="AE12">
            <v>1</v>
          </cell>
          <cell r="AF12">
            <v>1</v>
          </cell>
          <cell r="AG12">
            <v>1</v>
          </cell>
          <cell r="AH12">
            <v>1</v>
          </cell>
          <cell r="AI12">
            <v>1</v>
          </cell>
          <cell r="AJ12">
            <v>1</v>
          </cell>
          <cell r="AK12">
            <v>1</v>
          </cell>
          <cell r="AL12">
            <v>1</v>
          </cell>
          <cell r="AN12">
            <v>8706.1378147673931</v>
          </cell>
          <cell r="AO12">
            <v>8706.1378147673931</v>
          </cell>
          <cell r="AP12">
            <v>8706.1378147673931</v>
          </cell>
          <cell r="AQ12">
            <v>8706.1378147673931</v>
          </cell>
          <cell r="AR12">
            <v>8706.1378147673931</v>
          </cell>
          <cell r="AS12">
            <v>8706.1378147673931</v>
          </cell>
          <cell r="AT12">
            <v>8706.1378147673931</v>
          </cell>
          <cell r="AU12">
            <v>8706.1378147673931</v>
          </cell>
          <cell r="AV12">
            <v>8706.1378147673931</v>
          </cell>
          <cell r="AW12">
            <v>8706.1378147673931</v>
          </cell>
          <cell r="AX12">
            <v>8706.1378147673931</v>
          </cell>
          <cell r="AY12">
            <v>8706.1378147673931</v>
          </cell>
        </row>
        <row r="13">
          <cell r="A13" t="str">
            <v>EVOGENE</v>
          </cell>
          <cell r="B13">
            <v>7</v>
          </cell>
          <cell r="C13" t="str">
            <v>Non SOW</v>
          </cell>
          <cell r="D13" t="str">
            <v>Ag-Biologicals</v>
          </cell>
          <cell r="E13" t="str">
            <v>BD</v>
          </cell>
          <cell r="F13">
            <v>23765134</v>
          </cell>
          <cell r="G13" t="str">
            <v>Doron Yonay</v>
          </cell>
          <cell r="H13">
            <v>1</v>
          </cell>
          <cell r="I13">
            <v>36500</v>
          </cell>
          <cell r="J13">
            <v>-2900</v>
          </cell>
          <cell r="K13">
            <v>33600</v>
          </cell>
          <cell r="L13">
            <v>813</v>
          </cell>
          <cell r="M13">
            <v>0</v>
          </cell>
          <cell r="N13">
            <v>157.5</v>
          </cell>
          <cell r="O13">
            <v>691.28787878787864</v>
          </cell>
          <cell r="P13">
            <v>120</v>
          </cell>
          <cell r="Q13">
            <v>2184</v>
          </cell>
          <cell r="R13">
            <v>2423.6750909090911</v>
          </cell>
          <cell r="S13">
            <v>2800</v>
          </cell>
          <cell r="T13">
            <v>2520</v>
          </cell>
          <cell r="U13">
            <v>191.52</v>
          </cell>
          <cell r="V13">
            <v>1748.9583333333333</v>
          </cell>
          <cell r="W13">
            <v>3600</v>
          </cell>
          <cell r="X13">
            <v>3100</v>
          </cell>
          <cell r="Y13">
            <v>53949.941303030304</v>
          </cell>
          <cell r="AA13">
            <v>1</v>
          </cell>
          <cell r="AB13">
            <v>1</v>
          </cell>
          <cell r="AC13">
            <v>1</v>
          </cell>
          <cell r="AD13">
            <v>1</v>
          </cell>
          <cell r="AE13">
            <v>1</v>
          </cell>
          <cell r="AF13">
            <v>1</v>
          </cell>
          <cell r="AG13">
            <v>1</v>
          </cell>
          <cell r="AH13">
            <v>1</v>
          </cell>
          <cell r="AI13">
            <v>1</v>
          </cell>
          <cell r="AJ13">
            <v>1</v>
          </cell>
          <cell r="AK13">
            <v>1</v>
          </cell>
          <cell r="AL13">
            <v>1</v>
          </cell>
          <cell r="AN13">
            <v>15197.166564233888</v>
          </cell>
          <cell r="AO13">
            <v>15197.166564233888</v>
          </cell>
          <cell r="AP13">
            <v>15197.166564233888</v>
          </cell>
          <cell r="AQ13">
            <v>15197.166564233888</v>
          </cell>
          <cell r="AR13">
            <v>15197.166564233888</v>
          </cell>
          <cell r="AS13">
            <v>15197.166564233888</v>
          </cell>
          <cell r="AT13">
            <v>15197.166564233888</v>
          </cell>
          <cell r="AU13">
            <v>15197.166564233888</v>
          </cell>
          <cell r="AV13">
            <v>15197.166564233888</v>
          </cell>
          <cell r="AW13">
            <v>15197.166564233888</v>
          </cell>
          <cell r="AX13">
            <v>15197.166564233888</v>
          </cell>
          <cell r="AY13">
            <v>15197.166564233888</v>
          </cell>
        </row>
        <row r="14">
          <cell r="A14"/>
          <cell r="B14"/>
          <cell r="I14"/>
          <cell r="J14"/>
          <cell r="K14"/>
          <cell r="L14"/>
          <cell r="M14"/>
          <cell r="N14"/>
          <cell r="O14"/>
          <cell r="P14"/>
          <cell r="Q14">
            <v>0</v>
          </cell>
          <cell r="R14"/>
          <cell r="S14">
            <v>0</v>
          </cell>
          <cell r="T14">
            <v>0</v>
          </cell>
          <cell r="U14">
            <v>0</v>
          </cell>
          <cell r="V14"/>
          <cell r="W14"/>
          <cell r="X14"/>
          <cell r="Y14" t="str">
            <v/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N14" t="str">
            <v/>
          </cell>
          <cell r="AO14" t="str">
            <v/>
          </cell>
          <cell r="AP14" t="str">
            <v/>
          </cell>
          <cell r="AQ14" t="str">
            <v/>
          </cell>
          <cell r="AR14" t="str">
            <v/>
          </cell>
          <cell r="AS14" t="str">
            <v/>
          </cell>
          <cell r="AT14" t="str">
            <v/>
          </cell>
          <cell r="AU14" t="str">
            <v/>
          </cell>
          <cell r="AV14" t="str">
            <v/>
          </cell>
          <cell r="AW14" t="str">
            <v/>
          </cell>
          <cell r="AX14" t="str">
            <v/>
          </cell>
          <cell r="AY14" t="str">
            <v/>
          </cell>
        </row>
        <row r="15">
          <cell r="A15" t="str">
            <v>EVOGENE</v>
          </cell>
          <cell r="B15"/>
          <cell r="C15" t="str">
            <v>Non SOW</v>
          </cell>
          <cell r="D15" t="str">
            <v>Cannabis</v>
          </cell>
          <cell r="E15" t="str">
            <v>Cannabis</v>
          </cell>
          <cell r="F15">
            <v>35756980</v>
          </cell>
          <cell r="G15" t="str">
            <v>Izik Avidan</v>
          </cell>
          <cell r="H15">
            <v>1</v>
          </cell>
          <cell r="I15">
            <v>28000</v>
          </cell>
          <cell r="J15">
            <v>0</v>
          </cell>
          <cell r="K15">
            <v>28000</v>
          </cell>
          <cell r="L15">
            <v>813</v>
          </cell>
          <cell r="M15">
            <v>943.39</v>
          </cell>
          <cell r="N15">
            <v>189</v>
          </cell>
          <cell r="O15">
            <v>530.30303030303037</v>
          </cell>
          <cell r="P15">
            <v>0</v>
          </cell>
          <cell r="Q15">
            <v>1820</v>
          </cell>
          <cell r="R15">
            <v>2055.7179772727272</v>
          </cell>
          <cell r="S15">
            <v>2333.333333333333</v>
          </cell>
          <cell r="T15">
            <v>2100</v>
          </cell>
          <cell r="U15">
            <v>159.6</v>
          </cell>
          <cell r="V15">
            <v>1341.6666666666665</v>
          </cell>
          <cell r="W15">
            <v>0</v>
          </cell>
          <cell r="X15">
            <v>0</v>
          </cell>
          <cell r="Y15">
            <v>40286.011007575755</v>
          </cell>
          <cell r="AA15">
            <v>1</v>
          </cell>
          <cell r="AB15">
            <v>1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N15">
            <v>11348.172114810071</v>
          </cell>
          <cell r="AO15">
            <v>11348.172114810071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</row>
        <row r="16">
          <cell r="A16" t="str">
            <v>EVOGENE</v>
          </cell>
          <cell r="B16"/>
          <cell r="C16" t="str">
            <v>SOW - Div</v>
          </cell>
          <cell r="D16" t="str">
            <v>Ag-Seed</v>
          </cell>
          <cell r="E16" t="str">
            <v>PM-Seed</v>
          </cell>
          <cell r="F16">
            <v>39633003</v>
          </cell>
          <cell r="G16" t="str">
            <v>Michal  Ben Zvi</v>
          </cell>
          <cell r="H16">
            <v>1</v>
          </cell>
          <cell r="I16">
            <v>14000</v>
          </cell>
          <cell r="J16">
            <v>0</v>
          </cell>
          <cell r="K16">
            <v>14000</v>
          </cell>
          <cell r="L16">
            <v>813</v>
          </cell>
          <cell r="M16">
            <v>877.19</v>
          </cell>
          <cell r="N16">
            <v>189</v>
          </cell>
          <cell r="O16">
            <v>265.15151515151518</v>
          </cell>
          <cell r="P16">
            <v>120</v>
          </cell>
          <cell r="Q16">
            <v>910</v>
          </cell>
          <cell r="R16">
            <v>989.86661363636381</v>
          </cell>
          <cell r="S16">
            <v>1166.6666666666665</v>
          </cell>
          <cell r="T16">
            <v>1050</v>
          </cell>
          <cell r="U16">
            <v>79.8</v>
          </cell>
          <cell r="V16">
            <v>670.83333333333326</v>
          </cell>
          <cell r="W16">
            <v>0</v>
          </cell>
          <cell r="X16">
            <v>0</v>
          </cell>
          <cell r="Y16">
            <v>21131.508128787878</v>
          </cell>
          <cell r="AA16">
            <v>1</v>
          </cell>
          <cell r="AB16">
            <v>1</v>
          </cell>
          <cell r="AC16">
            <v>1</v>
          </cell>
          <cell r="AD16">
            <v>1</v>
          </cell>
          <cell r="AE16">
            <v>1</v>
          </cell>
          <cell r="AF16">
            <v>1</v>
          </cell>
          <cell r="AG16">
            <v>1</v>
          </cell>
          <cell r="AH16">
            <v>1</v>
          </cell>
          <cell r="AI16">
            <v>1</v>
          </cell>
          <cell r="AJ16">
            <v>1</v>
          </cell>
          <cell r="AK16">
            <v>1</v>
          </cell>
          <cell r="AL16">
            <v>1</v>
          </cell>
          <cell r="AN16">
            <v>5952.5375010670086</v>
          </cell>
          <cell r="AO16">
            <v>5952.5375010670086</v>
          </cell>
          <cell r="AP16">
            <v>5952.5375010670086</v>
          </cell>
          <cell r="AQ16">
            <v>5952.5375010670086</v>
          </cell>
          <cell r="AR16">
            <v>5952.5375010670086</v>
          </cell>
          <cell r="AS16">
            <v>5952.5375010670086</v>
          </cell>
          <cell r="AT16">
            <v>5952.5375010670086</v>
          </cell>
          <cell r="AU16">
            <v>5952.5375010670086</v>
          </cell>
          <cell r="AV16">
            <v>5952.5375010670086</v>
          </cell>
          <cell r="AW16">
            <v>5952.5375010670086</v>
          </cell>
          <cell r="AX16">
            <v>5952.5375010670086</v>
          </cell>
          <cell r="AY16">
            <v>5952.5375010670086</v>
          </cell>
        </row>
        <row r="17">
          <cell r="A17" t="str">
            <v>EVOGENE</v>
          </cell>
          <cell r="B17"/>
          <cell r="C17" t="str">
            <v>SOW - Div</v>
          </cell>
          <cell r="D17" t="str">
            <v>Ag-Biologicals</v>
          </cell>
          <cell r="E17" t="str">
            <v>PM-Biolog</v>
          </cell>
          <cell r="F17">
            <v>40331241</v>
          </cell>
          <cell r="G17" t="str">
            <v>Dana Bezalel</v>
          </cell>
          <cell r="H17">
            <v>1</v>
          </cell>
          <cell r="I17">
            <v>18000</v>
          </cell>
          <cell r="J17">
            <v>0</v>
          </cell>
          <cell r="K17">
            <v>18000</v>
          </cell>
          <cell r="L17">
            <v>813</v>
          </cell>
          <cell r="M17">
            <v>943.39</v>
          </cell>
          <cell r="N17">
            <v>189</v>
          </cell>
          <cell r="O17">
            <v>340.90909090909088</v>
          </cell>
          <cell r="P17">
            <v>120</v>
          </cell>
          <cell r="Q17">
            <v>1170</v>
          </cell>
          <cell r="R17">
            <v>1300.513431818182</v>
          </cell>
          <cell r="S17">
            <v>1500</v>
          </cell>
          <cell r="T17">
            <v>1350</v>
          </cell>
          <cell r="U17">
            <v>102.60000000000001</v>
          </cell>
          <cell r="V17">
            <v>862.5</v>
          </cell>
          <cell r="W17">
            <v>0</v>
          </cell>
          <cell r="X17">
            <v>0</v>
          </cell>
          <cell r="Y17">
            <v>26691.912522727271</v>
          </cell>
          <cell r="AA17">
            <v>1</v>
          </cell>
          <cell r="AB17">
            <v>1</v>
          </cell>
          <cell r="AC17">
            <v>1</v>
          </cell>
          <cell r="AD17">
            <v>1</v>
          </cell>
          <cell r="AE17">
            <v>1</v>
          </cell>
          <cell r="AF17">
            <v>1</v>
          </cell>
          <cell r="AG17">
            <v>1</v>
          </cell>
          <cell r="AH17">
            <v>1</v>
          </cell>
          <cell r="AI17">
            <v>1</v>
          </cell>
          <cell r="AJ17">
            <v>1</v>
          </cell>
          <cell r="AK17">
            <v>1</v>
          </cell>
          <cell r="AL17">
            <v>1</v>
          </cell>
          <cell r="AN17">
            <v>7518.8485979513443</v>
          </cell>
          <cell r="AO17">
            <v>7518.8485979513443</v>
          </cell>
          <cell r="AP17">
            <v>7518.8485979513443</v>
          </cell>
          <cell r="AQ17">
            <v>7518.8485979513443</v>
          </cell>
          <cell r="AR17">
            <v>7518.8485979513443</v>
          </cell>
          <cell r="AS17">
            <v>7518.8485979513443</v>
          </cell>
          <cell r="AT17">
            <v>7518.8485979513443</v>
          </cell>
          <cell r="AU17">
            <v>7518.8485979513443</v>
          </cell>
          <cell r="AV17">
            <v>7518.8485979513443</v>
          </cell>
          <cell r="AW17">
            <v>7518.8485979513443</v>
          </cell>
          <cell r="AX17">
            <v>7518.8485979513443</v>
          </cell>
          <cell r="AY17">
            <v>7518.8485979513443</v>
          </cell>
        </row>
        <row r="18">
          <cell r="A18"/>
          <cell r="B18"/>
          <cell r="I18"/>
          <cell r="J18"/>
          <cell r="K18"/>
          <cell r="L18"/>
          <cell r="M18"/>
          <cell r="N18"/>
          <cell r="O18"/>
          <cell r="P18"/>
          <cell r="Q18">
            <v>0</v>
          </cell>
          <cell r="R18"/>
          <cell r="S18">
            <v>0</v>
          </cell>
          <cell r="T18">
            <v>0</v>
          </cell>
          <cell r="U18">
            <v>0</v>
          </cell>
          <cell r="V18"/>
          <cell r="W18"/>
          <cell r="X18"/>
          <cell r="Y18" t="str">
            <v/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N18" t="str">
            <v/>
          </cell>
          <cell r="AO18" t="str">
            <v/>
          </cell>
          <cell r="AP18" t="str">
            <v/>
          </cell>
          <cell r="AQ18" t="str">
            <v/>
          </cell>
          <cell r="AR18" t="str">
            <v/>
          </cell>
          <cell r="AS18" t="str">
            <v/>
          </cell>
          <cell r="AT18" t="str">
            <v/>
          </cell>
          <cell r="AU18" t="str">
            <v/>
          </cell>
          <cell r="AV18" t="str">
            <v/>
          </cell>
          <cell r="AW18" t="str">
            <v/>
          </cell>
          <cell r="AX18" t="str">
            <v/>
          </cell>
          <cell r="AY18" t="str">
            <v/>
          </cell>
        </row>
        <row r="19">
          <cell r="A19" t="str">
            <v>EVOGENE</v>
          </cell>
          <cell r="B19"/>
          <cell r="C19" t="str">
            <v>SOW</v>
          </cell>
          <cell r="D19" t="str">
            <v>Corporate</v>
          </cell>
          <cell r="E19" t="str">
            <v>IP</v>
          </cell>
          <cell r="F19">
            <v>15711278</v>
          </cell>
          <cell r="G19" t="str">
            <v>Shlomo Goren</v>
          </cell>
          <cell r="H19">
            <v>1</v>
          </cell>
          <cell r="I19">
            <v>16750</v>
          </cell>
          <cell r="J19">
            <v>0</v>
          </cell>
          <cell r="K19">
            <v>16750</v>
          </cell>
          <cell r="L19">
            <v>813</v>
          </cell>
          <cell r="M19">
            <v>943.4</v>
          </cell>
          <cell r="N19">
            <v>189</v>
          </cell>
          <cell r="O19">
            <v>317.2348484848485</v>
          </cell>
          <cell r="P19">
            <v>0</v>
          </cell>
          <cell r="Q19">
            <v>1088.75</v>
          </cell>
          <cell r="R19">
            <v>1195.9886136363637</v>
          </cell>
          <cell r="S19">
            <v>1395.8333333333333</v>
          </cell>
          <cell r="T19">
            <v>1256.25</v>
          </cell>
          <cell r="U19">
            <v>95.475000000000009</v>
          </cell>
          <cell r="V19">
            <v>802.60416666666663</v>
          </cell>
          <cell r="W19">
            <v>0</v>
          </cell>
          <cell r="X19">
            <v>0</v>
          </cell>
          <cell r="Y19">
            <v>24847.535962121212</v>
          </cell>
          <cell r="AA19">
            <v>0.27</v>
          </cell>
          <cell r="AB19">
            <v>0.27</v>
          </cell>
          <cell r="AC19">
            <v>0.27</v>
          </cell>
          <cell r="AD19">
            <v>0.27</v>
          </cell>
          <cell r="AE19">
            <v>0.27</v>
          </cell>
          <cell r="AF19">
            <v>0.27</v>
          </cell>
          <cell r="AG19">
            <v>0.27</v>
          </cell>
          <cell r="AH19">
            <v>0.27</v>
          </cell>
          <cell r="AI19">
            <v>0.27</v>
          </cell>
          <cell r="AJ19">
            <v>0.27</v>
          </cell>
          <cell r="AK19">
            <v>0.27</v>
          </cell>
          <cell r="AL19">
            <v>0.27</v>
          </cell>
          <cell r="AN19">
            <v>1889.8125943021769</v>
          </cell>
          <cell r="AO19">
            <v>1889.8125943021769</v>
          </cell>
          <cell r="AP19">
            <v>1889.8125943021769</v>
          </cell>
          <cell r="AQ19">
            <v>1889.8125943021769</v>
          </cell>
          <cell r="AR19">
            <v>1889.8125943021769</v>
          </cell>
          <cell r="AS19">
            <v>1889.8125943021769</v>
          </cell>
          <cell r="AT19">
            <v>1889.8125943021769</v>
          </cell>
          <cell r="AU19">
            <v>1889.8125943021769</v>
          </cell>
          <cell r="AV19">
            <v>1889.8125943021769</v>
          </cell>
          <cell r="AW19">
            <v>1889.8125943021769</v>
          </cell>
          <cell r="AX19">
            <v>1889.8125943021769</v>
          </cell>
          <cell r="AY19">
            <v>1889.8125943021769</v>
          </cell>
        </row>
        <row r="20">
          <cell r="A20" t="str">
            <v>EVOGENE</v>
          </cell>
          <cell r="B20"/>
          <cell r="C20" t="str">
            <v>Non SOW</v>
          </cell>
          <cell r="D20" t="str">
            <v>Corporate</v>
          </cell>
          <cell r="E20" t="str">
            <v>IP - NonSOW</v>
          </cell>
          <cell r="F20">
            <v>15711278</v>
          </cell>
          <cell r="G20" t="str">
            <v>Shlomo Goren</v>
          </cell>
          <cell r="H20">
            <v>1</v>
          </cell>
          <cell r="I20">
            <v>16750</v>
          </cell>
          <cell r="J20">
            <v>0</v>
          </cell>
          <cell r="K20">
            <v>16750</v>
          </cell>
          <cell r="L20">
            <v>813</v>
          </cell>
          <cell r="M20">
            <v>943.4</v>
          </cell>
          <cell r="N20">
            <v>189</v>
          </cell>
          <cell r="O20">
            <v>317.2348484848485</v>
          </cell>
          <cell r="P20">
            <v>0</v>
          </cell>
          <cell r="Q20">
            <v>1088.75</v>
          </cell>
          <cell r="R20">
            <v>1195.9886136363637</v>
          </cell>
          <cell r="S20">
            <v>1395.8333333333333</v>
          </cell>
          <cell r="T20">
            <v>1256.25</v>
          </cell>
          <cell r="U20">
            <v>95.475000000000009</v>
          </cell>
          <cell r="V20">
            <v>802.60416666666663</v>
          </cell>
          <cell r="W20">
            <v>0</v>
          </cell>
          <cell r="X20">
            <v>0</v>
          </cell>
          <cell r="Y20">
            <v>24847.535962121212</v>
          </cell>
          <cell r="AA20">
            <v>0.53</v>
          </cell>
          <cell r="AB20">
            <v>0.53</v>
          </cell>
          <cell r="AC20">
            <v>0.53</v>
          </cell>
          <cell r="AD20">
            <v>0.53</v>
          </cell>
          <cell r="AE20">
            <v>0.53</v>
          </cell>
          <cell r="AF20">
            <v>0.53</v>
          </cell>
          <cell r="AG20">
            <v>0.53</v>
          </cell>
          <cell r="AH20">
            <v>0.53</v>
          </cell>
          <cell r="AI20">
            <v>0.53</v>
          </cell>
          <cell r="AJ20">
            <v>0.53</v>
          </cell>
          <cell r="AK20">
            <v>0.53</v>
          </cell>
          <cell r="AL20">
            <v>0.53</v>
          </cell>
          <cell r="AN20">
            <v>3709.6321295561247</v>
          </cell>
          <cell r="AO20">
            <v>3709.6321295561247</v>
          </cell>
          <cell r="AP20">
            <v>3709.6321295561247</v>
          </cell>
          <cell r="AQ20">
            <v>3709.6321295561247</v>
          </cell>
          <cell r="AR20">
            <v>3709.6321295561247</v>
          </cell>
          <cell r="AS20">
            <v>3709.6321295561247</v>
          </cell>
          <cell r="AT20">
            <v>3709.6321295561247</v>
          </cell>
          <cell r="AU20">
            <v>3709.6321295561247</v>
          </cell>
          <cell r="AV20">
            <v>3709.6321295561247</v>
          </cell>
          <cell r="AW20">
            <v>3709.6321295561247</v>
          </cell>
          <cell r="AX20">
            <v>3709.6321295561247</v>
          </cell>
          <cell r="AY20">
            <v>3709.6321295561247</v>
          </cell>
        </row>
        <row r="21">
          <cell r="A21" t="str">
            <v>EVOGENE</v>
          </cell>
          <cell r="B21"/>
          <cell r="C21" t="str">
            <v>SOW - Div</v>
          </cell>
          <cell r="D21" t="str">
            <v>Ag-Biologicals</v>
          </cell>
          <cell r="E21" t="str">
            <v>Ag-Bio development</v>
          </cell>
          <cell r="F21">
            <v>15711278</v>
          </cell>
          <cell r="G21" t="str">
            <v>Shlomo Goren</v>
          </cell>
          <cell r="H21">
            <v>1</v>
          </cell>
          <cell r="I21">
            <v>16750</v>
          </cell>
          <cell r="J21">
            <v>0</v>
          </cell>
          <cell r="K21">
            <v>16750</v>
          </cell>
          <cell r="L21">
            <v>813</v>
          </cell>
          <cell r="M21">
            <v>943.4</v>
          </cell>
          <cell r="N21">
            <v>189</v>
          </cell>
          <cell r="O21">
            <v>317.2348484848485</v>
          </cell>
          <cell r="P21">
            <v>0</v>
          </cell>
          <cell r="Q21">
            <v>1088.75</v>
          </cell>
          <cell r="R21">
            <v>1195.9886136363637</v>
          </cell>
          <cell r="S21">
            <v>1395.8333333333333</v>
          </cell>
          <cell r="T21">
            <v>1256.25</v>
          </cell>
          <cell r="U21">
            <v>95.475000000000009</v>
          </cell>
          <cell r="V21">
            <v>802.60416666666663</v>
          </cell>
          <cell r="W21">
            <v>0</v>
          </cell>
          <cell r="X21">
            <v>0</v>
          </cell>
          <cell r="Y21">
            <v>24847.535962121212</v>
          </cell>
          <cell r="AA21">
            <v>0.2</v>
          </cell>
          <cell r="AB21">
            <v>0.2</v>
          </cell>
          <cell r="AC21">
            <v>0.2</v>
          </cell>
          <cell r="AD21">
            <v>0.2</v>
          </cell>
          <cell r="AE21">
            <v>0.2</v>
          </cell>
          <cell r="AF21">
            <v>0.2</v>
          </cell>
          <cell r="AG21">
            <v>0.2</v>
          </cell>
          <cell r="AH21">
            <v>0.2</v>
          </cell>
          <cell r="AI21">
            <v>0.2</v>
          </cell>
          <cell r="AJ21">
            <v>0.2</v>
          </cell>
          <cell r="AK21">
            <v>0.2</v>
          </cell>
          <cell r="AL21">
            <v>0.2</v>
          </cell>
          <cell r="AN21">
            <v>1399.8611809645756</v>
          </cell>
          <cell r="AO21">
            <v>1399.8611809645756</v>
          </cell>
          <cell r="AP21">
            <v>1399.8611809645756</v>
          </cell>
          <cell r="AQ21">
            <v>1399.8611809645756</v>
          </cell>
          <cell r="AR21">
            <v>1399.8611809645756</v>
          </cell>
          <cell r="AS21">
            <v>1399.8611809645756</v>
          </cell>
          <cell r="AT21">
            <v>1399.8611809645756</v>
          </cell>
          <cell r="AU21">
            <v>1399.8611809645756</v>
          </cell>
          <cell r="AV21">
            <v>1399.8611809645756</v>
          </cell>
          <cell r="AW21">
            <v>1399.8611809645756</v>
          </cell>
          <cell r="AX21">
            <v>1399.8611809645756</v>
          </cell>
          <cell r="AY21">
            <v>1399.8611809645756</v>
          </cell>
        </row>
        <row r="22">
          <cell r="A22" t="str">
            <v>EVOGENE</v>
          </cell>
          <cell r="B22">
            <v>25</v>
          </cell>
          <cell r="C22" t="str">
            <v>Non SOW</v>
          </cell>
          <cell r="D22" t="str">
            <v>Evofuel</v>
          </cell>
          <cell r="E22" t="str">
            <v>Evofuel</v>
          </cell>
          <cell r="F22">
            <v>21473020</v>
          </cell>
          <cell r="G22" t="str">
            <v>Micha Brog</v>
          </cell>
          <cell r="H22">
            <v>1</v>
          </cell>
          <cell r="I22">
            <v>18250</v>
          </cell>
          <cell r="J22">
            <v>-2000</v>
          </cell>
          <cell r="K22">
            <v>16250</v>
          </cell>
          <cell r="L22">
            <v>813</v>
          </cell>
          <cell r="M22">
            <v>0</v>
          </cell>
          <cell r="N22">
            <v>189</v>
          </cell>
          <cell r="O22">
            <v>345.64393939393932</v>
          </cell>
          <cell r="P22">
            <v>0</v>
          </cell>
          <cell r="Q22">
            <v>1056.25</v>
          </cell>
          <cell r="R22">
            <v>1089.8642954545455</v>
          </cell>
          <cell r="S22">
            <v>1354.1666666666665</v>
          </cell>
          <cell r="T22">
            <v>1218.75</v>
          </cell>
          <cell r="U22">
            <v>92.625</v>
          </cell>
          <cell r="V22">
            <v>874.47916666666663</v>
          </cell>
          <cell r="W22">
            <v>2400</v>
          </cell>
          <cell r="X22">
            <v>2000</v>
          </cell>
          <cell r="Y22">
            <v>27683.779068181822</v>
          </cell>
          <cell r="AA22">
            <v>1</v>
          </cell>
          <cell r="AB22">
            <v>1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N22">
            <v>7798.2476248399507</v>
          </cell>
          <cell r="AO22">
            <v>7798.2476248399507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</row>
        <row r="24">
          <cell r="A24" t="str">
            <v>EVOGENE</v>
          </cell>
          <cell r="B24"/>
          <cell r="C24" t="str">
            <v>SOW - Div</v>
          </cell>
          <cell r="D24" t="str">
            <v>Ag-Seed</v>
          </cell>
          <cell r="E24" t="str">
            <v>Ag-Seed</v>
          </cell>
          <cell r="F24">
            <v>28045409</v>
          </cell>
          <cell r="G24" t="str">
            <v>Noa Matarasso</v>
          </cell>
          <cell r="H24">
            <v>1</v>
          </cell>
          <cell r="I24">
            <v>21000</v>
          </cell>
          <cell r="J24">
            <v>0</v>
          </cell>
          <cell r="K24">
            <v>21000</v>
          </cell>
          <cell r="L24">
            <v>813</v>
          </cell>
          <cell r="M24">
            <v>943.4</v>
          </cell>
          <cell r="N24">
            <v>220.5</v>
          </cell>
          <cell r="O24">
            <v>397.72727272727269</v>
          </cell>
          <cell r="P24">
            <v>0</v>
          </cell>
          <cell r="Q24">
            <v>1365</v>
          </cell>
          <cell r="R24">
            <v>1523.1380454545456</v>
          </cell>
          <cell r="S24">
            <v>1750</v>
          </cell>
          <cell r="T24">
            <v>1575</v>
          </cell>
          <cell r="U24">
            <v>119.7</v>
          </cell>
          <cell r="V24">
            <v>1006.2499999999999</v>
          </cell>
          <cell r="W24">
            <v>0</v>
          </cell>
          <cell r="X24">
            <v>0</v>
          </cell>
          <cell r="Y24">
            <v>30713.715318181821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</row>
        <row r="25">
          <cell r="A25" t="str">
            <v>EVOGENE</v>
          </cell>
          <cell r="B25"/>
          <cell r="C25" t="str">
            <v>SOW - Div</v>
          </cell>
          <cell r="D25" t="str">
            <v>Ag-Chemistry</v>
          </cell>
          <cell r="E25" t="str">
            <v>Ag-Chemistry</v>
          </cell>
          <cell r="F25">
            <v>29054632</v>
          </cell>
          <cell r="G25" t="str">
            <v>Cathy Dayan Glick</v>
          </cell>
          <cell r="H25">
            <v>1</v>
          </cell>
          <cell r="I25">
            <v>17000</v>
          </cell>
          <cell r="J25">
            <v>0</v>
          </cell>
          <cell r="K25">
            <v>17000</v>
          </cell>
          <cell r="L25">
            <v>813</v>
          </cell>
          <cell r="M25">
            <v>290.57</v>
          </cell>
          <cell r="N25">
            <v>189</v>
          </cell>
          <cell r="O25">
            <v>321.969696969697</v>
          </cell>
          <cell r="P25">
            <v>0</v>
          </cell>
          <cell r="Q25">
            <v>1105</v>
          </cell>
          <cell r="R25">
            <v>1166.1314772727271</v>
          </cell>
          <cell r="S25">
            <v>1416.6666666666665</v>
          </cell>
          <cell r="T25">
            <v>1275</v>
          </cell>
          <cell r="U25">
            <v>96.9</v>
          </cell>
          <cell r="V25">
            <v>814.58333333333337</v>
          </cell>
          <cell r="W25">
            <v>0</v>
          </cell>
          <cell r="X25">
            <v>0</v>
          </cell>
          <cell r="Y25">
            <v>24488.821174242425</v>
          </cell>
          <cell r="AA25">
            <v>1</v>
          </cell>
          <cell r="AB25">
            <v>1</v>
          </cell>
          <cell r="AC25">
            <v>1</v>
          </cell>
          <cell r="AD25">
            <v>1</v>
          </cell>
          <cell r="AE25">
            <v>1</v>
          </cell>
          <cell r="AF25">
            <v>1</v>
          </cell>
          <cell r="AG25">
            <v>1</v>
          </cell>
          <cell r="AH25">
            <v>1</v>
          </cell>
          <cell r="AI25">
            <v>1</v>
          </cell>
          <cell r="AJ25">
            <v>1</v>
          </cell>
          <cell r="AK25">
            <v>1</v>
          </cell>
          <cell r="AL25">
            <v>1</v>
          </cell>
          <cell r="AN25">
            <v>6898.2594857020922</v>
          </cell>
          <cell r="AO25">
            <v>6898.2594857020922</v>
          </cell>
          <cell r="AP25">
            <v>6898.2594857020922</v>
          </cell>
          <cell r="AQ25">
            <v>6898.2594857020922</v>
          </cell>
          <cell r="AR25">
            <v>6898.2594857020922</v>
          </cell>
          <cell r="AS25">
            <v>6898.2594857020922</v>
          </cell>
          <cell r="AT25">
            <v>6898.2594857020922</v>
          </cell>
          <cell r="AU25">
            <v>6898.2594857020922</v>
          </cell>
          <cell r="AV25">
            <v>6898.2594857020922</v>
          </cell>
          <cell r="AW25">
            <v>6898.2594857020922</v>
          </cell>
          <cell r="AX25">
            <v>6898.2594857020922</v>
          </cell>
          <cell r="AY25">
            <v>6898.2594857020922</v>
          </cell>
        </row>
        <row r="26">
          <cell r="A26" t="str">
            <v>EVOGENE</v>
          </cell>
          <cell r="B26"/>
          <cell r="C26" t="str">
            <v>SOW - Div</v>
          </cell>
          <cell r="D26" t="str">
            <v>Ag-Seed</v>
          </cell>
          <cell r="E26" t="str">
            <v>Ag-Seed</v>
          </cell>
          <cell r="F26">
            <v>31483712</v>
          </cell>
          <cell r="G26" t="str">
            <v>Ronit Rimon Knopf</v>
          </cell>
          <cell r="H26">
            <v>1</v>
          </cell>
          <cell r="I26">
            <v>18750</v>
          </cell>
          <cell r="J26">
            <v>0</v>
          </cell>
          <cell r="K26">
            <v>18750</v>
          </cell>
          <cell r="L26">
            <v>813</v>
          </cell>
          <cell r="M26">
            <v>943.4</v>
          </cell>
          <cell r="N26">
            <v>220.5</v>
          </cell>
          <cell r="O26">
            <v>355.11363636363632</v>
          </cell>
          <cell r="P26">
            <v>0</v>
          </cell>
          <cell r="Q26">
            <v>1218.75</v>
          </cell>
          <cell r="R26">
            <v>1351.1920227272728</v>
          </cell>
          <cell r="S26">
            <v>1562.5</v>
          </cell>
          <cell r="T26">
            <v>1406.25</v>
          </cell>
          <cell r="U26">
            <v>106.875</v>
          </cell>
          <cell r="V26">
            <v>898.4375</v>
          </cell>
          <cell r="W26">
            <v>0</v>
          </cell>
          <cell r="X26">
            <v>0</v>
          </cell>
          <cell r="Y26">
            <v>27626.018159090909</v>
          </cell>
          <cell r="AA26">
            <v>1</v>
          </cell>
          <cell r="AB26">
            <v>1</v>
          </cell>
          <cell r="AC26">
            <v>1</v>
          </cell>
          <cell r="AD26">
            <v>1</v>
          </cell>
          <cell r="AE26">
            <v>1</v>
          </cell>
          <cell r="AF26">
            <v>1</v>
          </cell>
          <cell r="AG26">
            <v>1</v>
          </cell>
          <cell r="AH26">
            <v>1</v>
          </cell>
          <cell r="AI26">
            <v>1</v>
          </cell>
          <cell r="AJ26">
            <v>1</v>
          </cell>
          <cell r="AK26">
            <v>1</v>
          </cell>
          <cell r="AL26">
            <v>1</v>
          </cell>
          <cell r="AN26">
            <v>7781.9769462227914</v>
          </cell>
          <cell r="AO26">
            <v>7781.9769462227914</v>
          </cell>
          <cell r="AP26">
            <v>7781.9769462227914</v>
          </cell>
          <cell r="AQ26">
            <v>7781.9769462227914</v>
          </cell>
          <cell r="AR26">
            <v>7781.9769462227914</v>
          </cell>
          <cell r="AS26">
            <v>7781.9769462227914</v>
          </cell>
          <cell r="AT26">
            <v>7781.9769462227914</v>
          </cell>
          <cell r="AU26">
            <v>7781.9769462227914</v>
          </cell>
          <cell r="AV26">
            <v>7781.9769462227914</v>
          </cell>
          <cell r="AW26">
            <v>7781.9769462227914</v>
          </cell>
          <cell r="AX26">
            <v>7781.9769462227914</v>
          </cell>
          <cell r="AY26">
            <v>7781.9769462227914</v>
          </cell>
        </row>
        <row r="27">
          <cell r="A27" t="str">
            <v>EVOGENE</v>
          </cell>
          <cell r="B27"/>
          <cell r="C27" t="str">
            <v>SOW - Div</v>
          </cell>
          <cell r="D27" t="str">
            <v>Ag-Seed</v>
          </cell>
          <cell r="E27" t="str">
            <v>Ag-Seed</v>
          </cell>
          <cell r="F27">
            <v>33951971</v>
          </cell>
          <cell r="G27" t="str">
            <v>Inbal Dangor</v>
          </cell>
          <cell r="H27">
            <v>1</v>
          </cell>
          <cell r="I27">
            <v>20500</v>
          </cell>
          <cell r="J27">
            <v>0</v>
          </cell>
          <cell r="K27">
            <v>20500</v>
          </cell>
          <cell r="L27">
            <v>813</v>
          </cell>
          <cell r="M27">
            <v>415.1</v>
          </cell>
          <cell r="N27">
            <v>220.5</v>
          </cell>
          <cell r="O27">
            <v>388.25757575757575</v>
          </cell>
          <cell r="P27">
            <v>0</v>
          </cell>
          <cell r="Q27">
            <v>1332.5</v>
          </cell>
          <cell r="R27">
            <v>1445.3053181818182</v>
          </cell>
          <cell r="S27">
            <v>1708.3333333333333</v>
          </cell>
          <cell r="T27">
            <v>1537.5</v>
          </cell>
          <cell r="U27">
            <v>116.85000000000001</v>
          </cell>
          <cell r="V27">
            <v>982.29166666666652</v>
          </cell>
          <cell r="W27">
            <v>0</v>
          </cell>
          <cell r="X27">
            <v>0</v>
          </cell>
          <cell r="Y27">
            <v>29459.637893939391</v>
          </cell>
          <cell r="AA27">
            <v>1</v>
          </cell>
          <cell r="AB27">
            <v>1</v>
          </cell>
          <cell r="AC27">
            <v>1</v>
          </cell>
          <cell r="AD27">
            <v>1</v>
          </cell>
          <cell r="AE27">
            <v>1</v>
          </cell>
          <cell r="AF27">
            <v>1</v>
          </cell>
          <cell r="AG27">
            <v>1</v>
          </cell>
          <cell r="AH27">
            <v>1</v>
          </cell>
          <cell r="AI27">
            <v>1</v>
          </cell>
          <cell r="AJ27">
            <v>1</v>
          </cell>
          <cell r="AK27">
            <v>1</v>
          </cell>
          <cell r="AL27">
            <v>1</v>
          </cell>
          <cell r="AN27">
            <v>8298.4895475885605</v>
          </cell>
          <cell r="AO27">
            <v>8298.4895475885605</v>
          </cell>
          <cell r="AP27">
            <v>8298.4895475885605</v>
          </cell>
          <cell r="AQ27">
            <v>8298.4895475885605</v>
          </cell>
          <cell r="AR27">
            <v>8298.4895475885605</v>
          </cell>
          <cell r="AS27">
            <v>8298.4895475885605</v>
          </cell>
          <cell r="AT27">
            <v>8298.4895475885605</v>
          </cell>
          <cell r="AU27">
            <v>8298.4895475885605</v>
          </cell>
          <cell r="AV27">
            <v>8298.4895475885605</v>
          </cell>
          <cell r="AW27">
            <v>8298.4895475885605</v>
          </cell>
          <cell r="AX27">
            <v>8298.4895475885605</v>
          </cell>
          <cell r="AY27">
            <v>8298.4895475885605</v>
          </cell>
        </row>
        <row r="28">
          <cell r="A28" t="str">
            <v>EVOGENE</v>
          </cell>
          <cell r="B28"/>
          <cell r="C28" t="str">
            <v>SOW - Div</v>
          </cell>
          <cell r="D28" t="str">
            <v>Ag-Seed</v>
          </cell>
          <cell r="E28" t="str">
            <v>Ag-Seed</v>
          </cell>
          <cell r="F28">
            <v>310972021</v>
          </cell>
          <cell r="G28" t="str">
            <v>Ilya Pankratov</v>
          </cell>
          <cell r="H28">
            <v>1</v>
          </cell>
          <cell r="I28">
            <v>19000</v>
          </cell>
          <cell r="J28">
            <v>0</v>
          </cell>
          <cell r="K28">
            <v>19000</v>
          </cell>
          <cell r="L28">
            <v>813</v>
          </cell>
          <cell r="M28">
            <v>290.57</v>
          </cell>
          <cell r="N28">
            <v>220.5</v>
          </cell>
          <cell r="O28">
            <v>359.84848484848482</v>
          </cell>
          <cell r="P28">
            <v>0</v>
          </cell>
          <cell r="Q28">
            <v>1235</v>
          </cell>
          <cell r="R28">
            <v>1321.3348863636363</v>
          </cell>
          <cell r="S28">
            <v>1583.3333333333333</v>
          </cell>
          <cell r="T28">
            <v>1425</v>
          </cell>
          <cell r="U28">
            <v>108.3</v>
          </cell>
          <cell r="V28">
            <v>910.41666666666663</v>
          </cell>
          <cell r="W28">
            <v>0</v>
          </cell>
          <cell r="X28">
            <v>0</v>
          </cell>
          <cell r="Y28">
            <v>27267.303371212118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</row>
        <row r="29">
          <cell r="A29" t="str">
            <v>EVOGENE</v>
          </cell>
          <cell r="B29"/>
          <cell r="C29" t="str">
            <v>SOW - Div</v>
          </cell>
          <cell r="D29" t="str">
            <v>Ag-Seed</v>
          </cell>
          <cell r="E29" t="str">
            <v>Ag-Seed</v>
          </cell>
          <cell r="F29">
            <v>34214650</v>
          </cell>
          <cell r="G29" t="str">
            <v>Yael Wolfenson</v>
          </cell>
          <cell r="H29">
            <v>1</v>
          </cell>
          <cell r="I29">
            <v>15000</v>
          </cell>
          <cell r="J29">
            <v>0</v>
          </cell>
          <cell r="K29">
            <v>15000</v>
          </cell>
          <cell r="L29">
            <v>813</v>
          </cell>
          <cell r="M29">
            <v>290.57</v>
          </cell>
          <cell r="N29">
            <v>220.5</v>
          </cell>
          <cell r="O29">
            <v>284.09090909090912</v>
          </cell>
          <cell r="P29"/>
          <cell r="Q29">
            <v>975</v>
          </cell>
          <cell r="R29">
            <v>1015.6530681818181</v>
          </cell>
          <cell r="S29">
            <v>1250</v>
          </cell>
          <cell r="T29">
            <v>1125</v>
          </cell>
          <cell r="U29">
            <v>85.5</v>
          </cell>
          <cell r="V29">
            <v>718.75</v>
          </cell>
          <cell r="W29"/>
          <cell r="X29"/>
          <cell r="Y29">
            <v>21778.063977272726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</row>
        <row r="30">
          <cell r="A30"/>
          <cell r="B30"/>
          <cell r="I30"/>
          <cell r="J30"/>
          <cell r="K30"/>
          <cell r="L30"/>
          <cell r="M30"/>
          <cell r="N30"/>
          <cell r="O30"/>
          <cell r="P30"/>
          <cell r="Q30">
            <v>0</v>
          </cell>
          <cell r="R30"/>
          <cell r="S30">
            <v>0</v>
          </cell>
          <cell r="T30">
            <v>0</v>
          </cell>
          <cell r="U30">
            <v>0</v>
          </cell>
          <cell r="V30"/>
          <cell r="W30"/>
          <cell r="X30"/>
          <cell r="Y30" t="str">
            <v/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N30" t="str">
            <v/>
          </cell>
          <cell r="AO30" t="str">
            <v/>
          </cell>
          <cell r="AP30" t="str">
            <v/>
          </cell>
          <cell r="AQ30" t="str">
            <v/>
          </cell>
          <cell r="AR30" t="str">
            <v/>
          </cell>
          <cell r="AS30" t="str">
            <v/>
          </cell>
          <cell r="AT30" t="str">
            <v/>
          </cell>
          <cell r="AU30" t="str">
            <v/>
          </cell>
          <cell r="AV30" t="str">
            <v/>
          </cell>
          <cell r="AW30" t="str">
            <v/>
          </cell>
          <cell r="AX30" t="str">
            <v/>
          </cell>
          <cell r="AY30" t="str">
            <v/>
          </cell>
        </row>
        <row r="31">
          <cell r="A31" t="str">
            <v>EVOGENE</v>
          </cell>
          <cell r="B31"/>
          <cell r="C31" t="str">
            <v>SOW - Div</v>
          </cell>
          <cell r="D31" t="str">
            <v>Ag-Chemistry</v>
          </cell>
          <cell r="E31" t="str">
            <v>Ag-Chemistry</v>
          </cell>
          <cell r="F31">
            <v>23974298</v>
          </cell>
          <cell r="G31" t="str">
            <v>Boaz Inbal</v>
          </cell>
          <cell r="H31">
            <v>1</v>
          </cell>
          <cell r="I31">
            <v>29000</v>
          </cell>
          <cell r="J31">
            <v>0</v>
          </cell>
          <cell r="K31">
            <v>29000</v>
          </cell>
          <cell r="L31">
            <v>813</v>
          </cell>
          <cell r="M31">
            <v>943.39</v>
          </cell>
          <cell r="N31">
            <v>189</v>
          </cell>
          <cell r="O31">
            <v>549.24242424242425</v>
          </cell>
          <cell r="P31">
            <v>120</v>
          </cell>
          <cell r="Q31">
            <v>1885</v>
          </cell>
          <cell r="R31">
            <v>2141.1384318181817</v>
          </cell>
          <cell r="S31">
            <v>2416.6666666666665</v>
          </cell>
          <cell r="T31">
            <v>2175</v>
          </cell>
          <cell r="U31">
            <v>165.3</v>
          </cell>
          <cell r="V31">
            <v>1389.5833333333333</v>
          </cell>
          <cell r="W31">
            <v>0</v>
          </cell>
          <cell r="X31">
            <v>0</v>
          </cell>
          <cell r="Y31">
            <v>41787.320856060607</v>
          </cell>
          <cell r="AA31">
            <v>1</v>
          </cell>
          <cell r="AB31">
            <v>1</v>
          </cell>
          <cell r="AC31">
            <v>1</v>
          </cell>
          <cell r="AD31">
            <v>1</v>
          </cell>
          <cell r="AE31">
            <v>1</v>
          </cell>
          <cell r="AF31">
            <v>1</v>
          </cell>
          <cell r="AG31">
            <v>1</v>
          </cell>
          <cell r="AH31">
            <v>1</v>
          </cell>
          <cell r="AI31">
            <v>1</v>
          </cell>
          <cell r="AJ31">
            <v>1</v>
          </cell>
          <cell r="AK31">
            <v>1</v>
          </cell>
          <cell r="AL31">
            <v>1</v>
          </cell>
          <cell r="AN31">
            <v>11771.076297481863</v>
          </cell>
          <cell r="AO31">
            <v>11771.076297481863</v>
          </cell>
          <cell r="AP31">
            <v>11771.076297481863</v>
          </cell>
          <cell r="AQ31">
            <v>11771.076297481863</v>
          </cell>
          <cell r="AR31">
            <v>11771.076297481863</v>
          </cell>
          <cell r="AS31">
            <v>11771.076297481863</v>
          </cell>
          <cell r="AT31">
            <v>11771.076297481863</v>
          </cell>
          <cell r="AU31">
            <v>11771.076297481863</v>
          </cell>
          <cell r="AV31">
            <v>11771.076297481863</v>
          </cell>
          <cell r="AW31">
            <v>11771.076297481863</v>
          </cell>
          <cell r="AX31">
            <v>11771.076297481863</v>
          </cell>
          <cell r="AY31">
            <v>11771.076297481863</v>
          </cell>
        </row>
        <row r="32">
          <cell r="A32" t="str">
            <v>EVOGENE</v>
          </cell>
          <cell r="B32"/>
          <cell r="C32" t="str">
            <v>SOW - Div</v>
          </cell>
          <cell r="D32" t="str">
            <v>Ag-Chemistry</v>
          </cell>
          <cell r="E32" t="str">
            <v>Ag-Chemistry</v>
          </cell>
          <cell r="F32">
            <v>31455835</v>
          </cell>
          <cell r="G32" t="str">
            <v>Raz Krizevski</v>
          </cell>
          <cell r="H32">
            <v>1</v>
          </cell>
          <cell r="I32">
            <v>18000</v>
          </cell>
          <cell r="J32">
            <v>-1980</v>
          </cell>
          <cell r="K32">
            <v>16020</v>
          </cell>
          <cell r="L32">
            <v>813</v>
          </cell>
          <cell r="M32">
            <v>0</v>
          </cell>
          <cell r="N32">
            <v>189</v>
          </cell>
          <cell r="O32">
            <v>340.90909090909088</v>
          </cell>
          <cell r="P32">
            <v>0</v>
          </cell>
          <cell r="Q32">
            <v>1041.3</v>
          </cell>
          <cell r="R32">
            <v>1072.2591818181818</v>
          </cell>
          <cell r="S32">
            <v>1335</v>
          </cell>
          <cell r="T32">
            <v>1201.5</v>
          </cell>
          <cell r="U32">
            <v>91.314000000000007</v>
          </cell>
          <cell r="V32">
            <v>862.5</v>
          </cell>
          <cell r="W32">
            <v>2400</v>
          </cell>
          <cell r="X32">
            <v>1300</v>
          </cell>
          <cell r="Y32">
            <v>26666.782272727272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</row>
        <row r="33">
          <cell r="A33" t="str">
            <v>EVOGENE</v>
          </cell>
          <cell r="B33"/>
          <cell r="C33" t="str">
            <v>SOW - Div</v>
          </cell>
          <cell r="D33" t="str">
            <v>Ag-Chemistry</v>
          </cell>
          <cell r="E33" t="str">
            <v>Ag-Chemistry</v>
          </cell>
          <cell r="F33">
            <v>33091257</v>
          </cell>
          <cell r="G33" t="str">
            <v>Efrat Noy</v>
          </cell>
          <cell r="H33">
            <v>1</v>
          </cell>
          <cell r="I33">
            <v>21250</v>
          </cell>
          <cell r="J33">
            <v>0</v>
          </cell>
          <cell r="K33">
            <v>21250</v>
          </cell>
          <cell r="L33">
            <v>813</v>
          </cell>
          <cell r="M33">
            <v>943.4</v>
          </cell>
          <cell r="N33">
            <v>189</v>
          </cell>
          <cell r="O33">
            <v>402.46212121212119</v>
          </cell>
          <cell r="P33">
            <v>0</v>
          </cell>
          <cell r="Q33">
            <v>1381.25</v>
          </cell>
          <cell r="R33">
            <v>1539.8806590909091</v>
          </cell>
          <cell r="S33">
            <v>1770.8333333333333</v>
          </cell>
          <cell r="T33">
            <v>1593.75</v>
          </cell>
          <cell r="U33">
            <v>121.125</v>
          </cell>
          <cell r="V33">
            <v>1018.2291666666665</v>
          </cell>
          <cell r="W33">
            <v>0</v>
          </cell>
          <cell r="X33">
            <v>0</v>
          </cell>
          <cell r="Y33">
            <v>31022.93028030303</v>
          </cell>
          <cell r="AA33">
            <v>1</v>
          </cell>
          <cell r="AB33">
            <v>1</v>
          </cell>
          <cell r="AC33">
            <v>1</v>
          </cell>
          <cell r="AD33">
            <v>1</v>
          </cell>
          <cell r="AE33">
            <v>1</v>
          </cell>
          <cell r="AF33">
            <v>1</v>
          </cell>
          <cell r="AG33">
            <v>1</v>
          </cell>
          <cell r="AH33">
            <v>1</v>
          </cell>
          <cell r="AI33">
            <v>1</v>
          </cell>
          <cell r="AJ33">
            <v>1</v>
          </cell>
          <cell r="AK33">
            <v>1</v>
          </cell>
          <cell r="AL33">
            <v>1</v>
          </cell>
          <cell r="AN33">
            <v>8738.8536000853601</v>
          </cell>
          <cell r="AO33">
            <v>8738.8536000853601</v>
          </cell>
          <cell r="AP33">
            <v>8738.8536000853601</v>
          </cell>
          <cell r="AQ33">
            <v>8738.8536000853601</v>
          </cell>
          <cell r="AR33">
            <v>8738.8536000853601</v>
          </cell>
          <cell r="AS33">
            <v>8738.8536000853601</v>
          </cell>
          <cell r="AT33">
            <v>8738.8536000853601</v>
          </cell>
          <cell r="AU33">
            <v>8738.8536000853601</v>
          </cell>
          <cell r="AV33">
            <v>8738.8536000853601</v>
          </cell>
          <cell r="AW33">
            <v>8738.8536000853601</v>
          </cell>
          <cell r="AX33">
            <v>8738.8536000853601</v>
          </cell>
          <cell r="AY33">
            <v>8738.8536000853601</v>
          </cell>
        </row>
        <row r="34">
          <cell r="A34" t="str">
            <v>EVOGENE</v>
          </cell>
          <cell r="B34"/>
          <cell r="C34" t="str">
            <v>SOW - Div</v>
          </cell>
          <cell r="D34" t="str">
            <v>Ag-Chemistry</v>
          </cell>
          <cell r="E34" t="str">
            <v>Ag-Chemistry</v>
          </cell>
          <cell r="F34">
            <v>65911968</v>
          </cell>
          <cell r="G34" t="str">
            <v>Gali Sasson</v>
          </cell>
          <cell r="H34">
            <v>1</v>
          </cell>
          <cell r="I34">
            <v>10750</v>
          </cell>
          <cell r="J34">
            <v>0</v>
          </cell>
          <cell r="K34">
            <v>10750</v>
          </cell>
          <cell r="L34">
            <v>813</v>
          </cell>
          <cell r="M34">
            <v>355.88</v>
          </cell>
          <cell r="N34">
            <v>189</v>
          </cell>
          <cell r="O34">
            <v>203.59848484848484</v>
          </cell>
          <cell r="P34">
            <v>0</v>
          </cell>
          <cell r="Q34">
            <v>698.75</v>
          </cell>
          <cell r="R34">
            <v>693.40188636363632</v>
          </cell>
          <cell r="S34">
            <v>895.83333333333326</v>
          </cell>
          <cell r="T34">
            <v>806.25</v>
          </cell>
          <cell r="U34">
            <v>61.275000000000006</v>
          </cell>
          <cell r="V34">
            <v>515.10416666666663</v>
          </cell>
          <cell r="W34">
            <v>0</v>
          </cell>
          <cell r="X34">
            <v>0</v>
          </cell>
          <cell r="Y34">
            <v>15982.092871212119</v>
          </cell>
          <cell r="AA34">
            <v>1</v>
          </cell>
          <cell r="AB34">
            <v>1</v>
          </cell>
          <cell r="AC34">
            <v>1</v>
          </cell>
          <cell r="AD34"/>
          <cell r="AE34">
            <v>0</v>
          </cell>
          <cell r="AF34">
            <v>0</v>
          </cell>
          <cell r="AG34">
            <v>1</v>
          </cell>
          <cell r="AH34">
            <v>1</v>
          </cell>
          <cell r="AI34">
            <v>1</v>
          </cell>
          <cell r="AJ34">
            <v>1</v>
          </cell>
          <cell r="AK34">
            <v>1</v>
          </cell>
          <cell r="AL34">
            <v>1</v>
          </cell>
          <cell r="AN34">
            <v>4501.9979918907375</v>
          </cell>
          <cell r="AO34">
            <v>4501.9979918907375</v>
          </cell>
          <cell r="AP34">
            <v>4501.9979918907375</v>
          </cell>
          <cell r="AQ34">
            <v>0</v>
          </cell>
          <cell r="AR34">
            <v>0</v>
          </cell>
          <cell r="AS34">
            <v>0</v>
          </cell>
          <cell r="AT34">
            <v>4501.9979918907375</v>
          </cell>
          <cell r="AU34">
            <v>4501.9979918907375</v>
          </cell>
          <cell r="AV34">
            <v>4501.9979918907375</v>
          </cell>
          <cell r="AW34">
            <v>4501.9979918907375</v>
          </cell>
          <cell r="AX34">
            <v>4501.9979918907375</v>
          </cell>
          <cell r="AY34">
            <v>4501.9979918907375</v>
          </cell>
        </row>
        <row r="35">
          <cell r="A35" t="str">
            <v>EVOGENE</v>
          </cell>
          <cell r="B35"/>
          <cell r="C35" t="str">
            <v>SOW - Div</v>
          </cell>
          <cell r="D35" t="str">
            <v>Ag-Chemistry</v>
          </cell>
          <cell r="E35" t="str">
            <v>Ag-Chemistry</v>
          </cell>
          <cell r="G35" t="str">
            <v>TBR - research assistant</v>
          </cell>
          <cell r="H35">
            <v>1</v>
          </cell>
          <cell r="I35">
            <v>10000</v>
          </cell>
          <cell r="J35">
            <v>0</v>
          </cell>
          <cell r="K35">
            <v>10000</v>
          </cell>
          <cell r="L35">
            <v>813</v>
          </cell>
          <cell r="M35">
            <v>355.88</v>
          </cell>
          <cell r="N35">
            <v>189</v>
          </cell>
          <cell r="O35">
            <v>189.39393939393941</v>
          </cell>
          <cell r="P35">
            <v>0</v>
          </cell>
          <cell r="Q35">
            <v>650</v>
          </cell>
          <cell r="R35">
            <v>636.08654545454544</v>
          </cell>
          <cell r="S35">
            <v>833.33333333333326</v>
          </cell>
          <cell r="T35">
            <v>750</v>
          </cell>
          <cell r="U35">
            <v>57</v>
          </cell>
          <cell r="V35">
            <v>479.16666666666669</v>
          </cell>
          <cell r="W35">
            <v>0</v>
          </cell>
          <cell r="X35">
            <v>0</v>
          </cell>
          <cell r="Y35">
            <v>14952.860484848485</v>
          </cell>
          <cell r="AA35">
            <v>0.5</v>
          </cell>
          <cell r="AB35">
            <v>0.5</v>
          </cell>
          <cell r="AC35">
            <v>0.5</v>
          </cell>
          <cell r="AD35">
            <v>0.5</v>
          </cell>
          <cell r="AE35">
            <v>0.5</v>
          </cell>
          <cell r="AF35">
            <v>0.5</v>
          </cell>
          <cell r="AG35">
            <v>0.5</v>
          </cell>
          <cell r="AH35">
            <v>0.5</v>
          </cell>
          <cell r="AI35">
            <v>0.5</v>
          </cell>
          <cell r="AJ35">
            <v>0.5</v>
          </cell>
          <cell r="AK35">
            <v>0.5</v>
          </cell>
          <cell r="AL35">
            <v>0.5</v>
          </cell>
          <cell r="AN35">
            <v>2106.0366880068291</v>
          </cell>
          <cell r="AO35">
            <v>2106.0366880068291</v>
          </cell>
          <cell r="AP35">
            <v>2106.0366880068291</v>
          </cell>
          <cell r="AQ35">
            <v>2106.0366880068291</v>
          </cell>
          <cell r="AR35">
            <v>2106.0366880068291</v>
          </cell>
          <cell r="AS35">
            <v>2106.0366880068291</v>
          </cell>
          <cell r="AT35">
            <v>2106.0366880068291</v>
          </cell>
          <cell r="AU35">
            <v>2106.0366880068291</v>
          </cell>
          <cell r="AV35">
            <v>2106.0366880068291</v>
          </cell>
          <cell r="AW35">
            <v>2106.0366880068291</v>
          </cell>
          <cell r="AX35">
            <v>2106.0366880068291</v>
          </cell>
          <cell r="AY35">
            <v>2106.0366880068291</v>
          </cell>
        </row>
        <row r="36">
          <cell r="A36" t="str">
            <v>EVOGENE</v>
          </cell>
          <cell r="B36"/>
          <cell r="C36" t="str">
            <v>SOW - Div</v>
          </cell>
          <cell r="D36" t="str">
            <v>Ag-Chemistry</v>
          </cell>
          <cell r="E36" t="str">
            <v>Ag-Chemistry</v>
          </cell>
          <cell r="G36" t="str">
            <v>TBR - computational chemistry</v>
          </cell>
          <cell r="H36">
            <v>1</v>
          </cell>
          <cell r="I36">
            <v>22000</v>
          </cell>
          <cell r="J36">
            <v>0</v>
          </cell>
          <cell r="K36">
            <v>22000</v>
          </cell>
          <cell r="L36">
            <v>813</v>
          </cell>
          <cell r="M36">
            <v>355.88</v>
          </cell>
          <cell r="N36">
            <v>189</v>
          </cell>
          <cell r="O36">
            <v>416.66666666666669</v>
          </cell>
          <cell r="P36">
            <v>0</v>
          </cell>
          <cell r="Q36">
            <v>1430</v>
          </cell>
          <cell r="R36">
            <v>1553.1320000000003</v>
          </cell>
          <cell r="S36">
            <v>1833.3333333333333</v>
          </cell>
          <cell r="T36">
            <v>1650</v>
          </cell>
          <cell r="U36">
            <v>125.4</v>
          </cell>
          <cell r="V36">
            <v>1054.1666666666665</v>
          </cell>
          <cell r="W36">
            <v>0</v>
          </cell>
          <cell r="X36">
            <v>0</v>
          </cell>
          <cell r="Y36">
            <v>31420.578666666672</v>
          </cell>
          <cell r="AA36">
            <v>1</v>
          </cell>
          <cell r="AB36">
            <v>1</v>
          </cell>
          <cell r="AC36">
            <v>1</v>
          </cell>
          <cell r="AD36">
            <v>1</v>
          </cell>
          <cell r="AE36">
            <v>1</v>
          </cell>
          <cell r="AF36">
            <v>1</v>
          </cell>
          <cell r="AG36">
            <v>1</v>
          </cell>
          <cell r="AH36">
            <v>1</v>
          </cell>
          <cell r="AI36">
            <v>1</v>
          </cell>
          <cell r="AJ36">
            <v>1</v>
          </cell>
          <cell r="AK36">
            <v>1</v>
          </cell>
          <cell r="AL36">
            <v>1</v>
          </cell>
          <cell r="AN36">
            <v>8850.8672300469498</v>
          </cell>
          <cell r="AO36">
            <v>8850.8672300469498</v>
          </cell>
          <cell r="AP36">
            <v>8850.8672300469498</v>
          </cell>
          <cell r="AQ36">
            <v>8850.8672300469498</v>
          </cell>
          <cell r="AR36">
            <v>8850.8672300469498</v>
          </cell>
          <cell r="AS36">
            <v>8850.8672300469498</v>
          </cell>
          <cell r="AT36">
            <v>8850.8672300469498</v>
          </cell>
          <cell r="AU36">
            <v>8850.8672300469498</v>
          </cell>
          <cell r="AV36">
            <v>8850.8672300469498</v>
          </cell>
          <cell r="AW36">
            <v>8850.8672300469498</v>
          </cell>
          <cell r="AX36">
            <v>8850.8672300469498</v>
          </cell>
          <cell r="AY36">
            <v>8850.8672300469498</v>
          </cell>
        </row>
        <row r="37">
          <cell r="A37" t="str">
            <v>EVOGENE</v>
          </cell>
          <cell r="B37"/>
          <cell r="C37" t="str">
            <v>SOW - Div</v>
          </cell>
          <cell r="D37" t="str">
            <v>Ag-Chemistry</v>
          </cell>
          <cell r="E37" t="str">
            <v>Ag-Chemistry</v>
          </cell>
          <cell r="F37">
            <v>306463639</v>
          </cell>
          <cell r="G37" t="str">
            <v>Daniel Sherman</v>
          </cell>
          <cell r="H37">
            <v>1</v>
          </cell>
          <cell r="I37">
            <v>20000</v>
          </cell>
          <cell r="J37">
            <v>-1920</v>
          </cell>
          <cell r="K37">
            <v>18080</v>
          </cell>
          <cell r="L37">
            <v>813</v>
          </cell>
          <cell r="M37">
            <v>0</v>
          </cell>
          <cell r="N37">
            <v>189</v>
          </cell>
          <cell r="O37">
            <v>378.78787878787881</v>
          </cell>
          <cell r="P37">
            <v>0</v>
          </cell>
          <cell r="Q37">
            <v>1175.2</v>
          </cell>
          <cell r="R37">
            <v>1229.600090909091</v>
          </cell>
          <cell r="S37">
            <v>1506.6666666666665</v>
          </cell>
          <cell r="T37">
            <v>1356</v>
          </cell>
          <cell r="U37">
            <v>103.056</v>
          </cell>
          <cell r="V37">
            <v>958.33333333333337</v>
          </cell>
          <cell r="W37">
            <v>2300</v>
          </cell>
          <cell r="X37">
            <v>1800</v>
          </cell>
          <cell r="Y37">
            <v>29889.643969696972</v>
          </cell>
          <cell r="AA37">
            <v>1</v>
          </cell>
          <cell r="AB37">
            <v>1</v>
          </cell>
          <cell r="AC37">
            <v>1</v>
          </cell>
          <cell r="AD37">
            <v>1</v>
          </cell>
          <cell r="AE37">
            <v>1</v>
          </cell>
          <cell r="AF37">
            <v>1</v>
          </cell>
          <cell r="AG37">
            <v>1</v>
          </cell>
          <cell r="AH37">
            <v>1</v>
          </cell>
          <cell r="AI37">
            <v>1</v>
          </cell>
          <cell r="AJ37">
            <v>1</v>
          </cell>
          <cell r="AK37">
            <v>1</v>
          </cell>
          <cell r="AL37">
            <v>1</v>
          </cell>
          <cell r="AN37">
            <v>8419.6180196329497</v>
          </cell>
          <cell r="AO37">
            <v>8419.6180196329497</v>
          </cell>
          <cell r="AP37">
            <v>8419.6180196329497</v>
          </cell>
          <cell r="AQ37">
            <v>8419.6180196329497</v>
          </cell>
          <cell r="AR37">
            <v>8419.6180196329497</v>
          </cell>
          <cell r="AS37">
            <v>8419.6180196329497</v>
          </cell>
          <cell r="AT37">
            <v>8419.6180196329497</v>
          </cell>
          <cell r="AU37">
            <v>8419.6180196329497</v>
          </cell>
          <cell r="AV37">
            <v>8419.6180196329497</v>
          </cell>
          <cell r="AW37">
            <v>8419.6180196329497</v>
          </cell>
          <cell r="AX37">
            <v>8419.6180196329497</v>
          </cell>
          <cell r="AY37">
            <v>8419.6180196329497</v>
          </cell>
        </row>
        <row r="38">
          <cell r="A38" t="str">
            <v>EVOGENE</v>
          </cell>
          <cell r="B38"/>
          <cell r="C38" t="str">
            <v>SOW - Div</v>
          </cell>
          <cell r="D38" t="str">
            <v>Ag-Chemistry</v>
          </cell>
          <cell r="E38" t="str">
            <v>Ag-Chemistry</v>
          </cell>
          <cell r="F38">
            <v>327102422</v>
          </cell>
          <cell r="G38" t="str">
            <v>Yehoshua Freud</v>
          </cell>
          <cell r="H38">
            <v>1</v>
          </cell>
          <cell r="I38">
            <v>16250</v>
          </cell>
          <cell r="J38">
            <v>0</v>
          </cell>
          <cell r="K38">
            <v>16250</v>
          </cell>
          <cell r="L38">
            <v>813</v>
          </cell>
          <cell r="M38">
            <v>263.17</v>
          </cell>
          <cell r="N38">
            <v>189</v>
          </cell>
          <cell r="O38">
            <v>307.7651515151515</v>
          </cell>
          <cell r="P38">
            <v>0</v>
          </cell>
          <cell r="Q38">
            <v>1056.25</v>
          </cell>
          <cell r="R38">
            <v>1106.7611363636363</v>
          </cell>
          <cell r="S38">
            <v>1354.1666666666665</v>
          </cell>
          <cell r="T38">
            <v>1218.75</v>
          </cell>
          <cell r="U38">
            <v>92.625</v>
          </cell>
          <cell r="V38">
            <v>778.64583333333337</v>
          </cell>
          <cell r="W38">
            <v>0</v>
          </cell>
          <cell r="X38">
            <v>0</v>
          </cell>
          <cell r="Y38">
            <v>23430.133787878785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L38">
            <v>1</v>
          </cell>
          <cell r="AN38">
            <v>6600.0376867264185</v>
          </cell>
          <cell r="AO38">
            <v>6600.0376867264185</v>
          </cell>
          <cell r="AP38">
            <v>6600.0376867264185</v>
          </cell>
          <cell r="AQ38">
            <v>6600.0376867264185</v>
          </cell>
          <cell r="AR38">
            <v>6600.0376867264185</v>
          </cell>
          <cell r="AS38">
            <v>6600.0376867264185</v>
          </cell>
          <cell r="AT38">
            <v>6600.0376867264185</v>
          </cell>
          <cell r="AU38">
            <v>6600.0376867264185</v>
          </cell>
          <cell r="AV38">
            <v>6600.0376867264185</v>
          </cell>
          <cell r="AW38">
            <v>6600.0376867264185</v>
          </cell>
          <cell r="AX38">
            <v>6600.0376867264185</v>
          </cell>
          <cell r="AY38">
            <v>6600.0376867264185</v>
          </cell>
        </row>
        <row r="39">
          <cell r="A39" t="str">
            <v>EVOGENE</v>
          </cell>
          <cell r="B39"/>
          <cell r="C39" t="str">
            <v>Non SOW</v>
          </cell>
          <cell r="D39" t="str">
            <v>Ag-Chemistry</v>
          </cell>
          <cell r="E39" t="str">
            <v>BD</v>
          </cell>
          <cell r="F39">
            <v>25719121</v>
          </cell>
          <cell r="G39" t="str">
            <v>Guy Zangi</v>
          </cell>
          <cell r="H39">
            <v>1</v>
          </cell>
          <cell r="I39">
            <v>40000</v>
          </cell>
          <cell r="J39"/>
          <cell r="K39">
            <v>40000</v>
          </cell>
          <cell r="L39">
            <v>813</v>
          </cell>
          <cell r="M39">
            <v>450</v>
          </cell>
          <cell r="N39">
            <v>157.5</v>
          </cell>
          <cell r="O39">
            <v>757.57575757575762</v>
          </cell>
          <cell r="P39">
            <v>120</v>
          </cell>
          <cell r="Q39">
            <v>2600</v>
          </cell>
          <cell r="R39">
            <v>2942.3966818181821</v>
          </cell>
          <cell r="S39">
            <v>3333.333333333333</v>
          </cell>
          <cell r="T39">
            <v>3000</v>
          </cell>
          <cell r="U39">
            <v>228</v>
          </cell>
          <cell r="V39">
            <v>1916.6666666666667</v>
          </cell>
          <cell r="W39"/>
          <cell r="X39"/>
          <cell r="Y39">
            <v>56318.47243939394</v>
          </cell>
          <cell r="AA39">
            <v>1</v>
          </cell>
          <cell r="AB39">
            <v>1</v>
          </cell>
          <cell r="AC39">
            <v>1</v>
          </cell>
          <cell r="AD39">
            <v>1</v>
          </cell>
          <cell r="AE39">
            <v>1</v>
          </cell>
          <cell r="AF39">
            <v>1</v>
          </cell>
          <cell r="AG39">
            <v>1</v>
          </cell>
          <cell r="AH39">
            <v>1</v>
          </cell>
          <cell r="AI39">
            <v>1</v>
          </cell>
          <cell r="AJ39">
            <v>1</v>
          </cell>
          <cell r="AK39">
            <v>1</v>
          </cell>
          <cell r="AL39">
            <v>1</v>
          </cell>
          <cell r="AN39">
            <v>15864.358433632096</v>
          </cell>
          <cell r="AO39">
            <v>15864.358433632096</v>
          </cell>
          <cell r="AP39">
            <v>15864.358433632096</v>
          </cell>
          <cell r="AQ39">
            <v>15864.358433632096</v>
          </cell>
          <cell r="AR39">
            <v>15864.358433632096</v>
          </cell>
          <cell r="AS39">
            <v>15864.358433632096</v>
          </cell>
          <cell r="AT39">
            <v>15864.358433632096</v>
          </cell>
          <cell r="AU39">
            <v>15864.358433632096</v>
          </cell>
          <cell r="AV39">
            <v>15864.358433632096</v>
          </cell>
          <cell r="AW39">
            <v>15864.358433632096</v>
          </cell>
          <cell r="AX39">
            <v>15864.358433632096</v>
          </cell>
          <cell r="AY39">
            <v>15864.358433632096</v>
          </cell>
        </row>
        <row r="40">
          <cell r="A40" t="str">
            <v>EVOGENE</v>
          </cell>
          <cell r="B40"/>
          <cell r="C40" t="str">
            <v>Non SOW</v>
          </cell>
          <cell r="D40" t="str">
            <v>Ag-Seed</v>
          </cell>
          <cell r="E40" t="str">
            <v>BD</v>
          </cell>
          <cell r="F40">
            <v>38268306</v>
          </cell>
          <cell r="G40" t="str">
            <v>Shahar Bar_Cohav</v>
          </cell>
          <cell r="H40">
            <v>1</v>
          </cell>
          <cell r="I40">
            <v>35000</v>
          </cell>
          <cell r="J40">
            <v>-1950</v>
          </cell>
          <cell r="K40">
            <v>33050</v>
          </cell>
          <cell r="L40">
            <v>813</v>
          </cell>
          <cell r="M40">
            <v>0</v>
          </cell>
          <cell r="N40">
            <v>158</v>
          </cell>
          <cell r="O40">
            <v>662.87878787878788</v>
          </cell>
          <cell r="P40"/>
          <cell r="Q40">
            <v>2148.25</v>
          </cell>
          <cell r="R40">
            <v>2371.331909090909</v>
          </cell>
          <cell r="S40">
            <v>2754.1666666666665</v>
          </cell>
          <cell r="T40">
            <v>2478.75</v>
          </cell>
          <cell r="U40">
            <v>188.38500000000002</v>
          </cell>
          <cell r="V40">
            <v>1677.0833333333333</v>
          </cell>
          <cell r="W40">
            <v>2700</v>
          </cell>
          <cell r="X40">
            <v>2000</v>
          </cell>
          <cell r="Y40">
            <v>51001.845696969693</v>
          </cell>
          <cell r="AA40">
            <v>0.5</v>
          </cell>
          <cell r="AB40">
            <v>0.5</v>
          </cell>
          <cell r="AC40">
            <v>0.5</v>
          </cell>
          <cell r="AD40">
            <v>0.5</v>
          </cell>
          <cell r="AE40">
            <v>0.5</v>
          </cell>
          <cell r="AF40">
            <v>0.5</v>
          </cell>
          <cell r="AG40">
            <v>0.5</v>
          </cell>
          <cell r="AH40">
            <v>0.5</v>
          </cell>
          <cell r="AI40">
            <v>0.5</v>
          </cell>
          <cell r="AJ40">
            <v>0.5</v>
          </cell>
          <cell r="AK40">
            <v>0.5</v>
          </cell>
          <cell r="AL40">
            <v>0.5</v>
          </cell>
          <cell r="AN40">
            <v>7183.3585488689714</v>
          </cell>
          <cell r="AO40">
            <v>7183.3585488689714</v>
          </cell>
          <cell r="AP40">
            <v>7183.3585488689714</v>
          </cell>
          <cell r="AQ40">
            <v>7183.3585488689714</v>
          </cell>
          <cell r="AR40">
            <v>7183.3585488689714</v>
          </cell>
          <cell r="AS40">
            <v>7183.3585488689714</v>
          </cell>
          <cell r="AT40">
            <v>7183.3585488689714</v>
          </cell>
          <cell r="AU40">
            <v>7183.3585488689714</v>
          </cell>
          <cell r="AV40">
            <v>7183.3585488689714</v>
          </cell>
          <cell r="AW40">
            <v>7183.3585488689714</v>
          </cell>
          <cell r="AX40">
            <v>7183.3585488689714</v>
          </cell>
          <cell r="AY40">
            <v>7183.3585488689714</v>
          </cell>
        </row>
        <row r="41">
          <cell r="A41" t="str">
            <v>EVOGENE</v>
          </cell>
          <cell r="B41">
            <v>89</v>
          </cell>
          <cell r="C41" t="str">
            <v>Non SOW</v>
          </cell>
          <cell r="D41" t="str">
            <v>Corporate - Operations</v>
          </cell>
          <cell r="E41" t="str">
            <v>BD</v>
          </cell>
          <cell r="F41">
            <v>38268306</v>
          </cell>
          <cell r="G41" t="str">
            <v>Shahar Bar_Cohav</v>
          </cell>
          <cell r="H41">
            <v>1</v>
          </cell>
          <cell r="I41">
            <v>35000</v>
          </cell>
          <cell r="J41">
            <v>-1950</v>
          </cell>
          <cell r="K41">
            <v>33050</v>
          </cell>
          <cell r="L41">
            <v>813</v>
          </cell>
          <cell r="M41">
            <v>0</v>
          </cell>
          <cell r="N41">
            <v>158</v>
          </cell>
          <cell r="O41">
            <v>662.87878787878788</v>
          </cell>
          <cell r="P41"/>
          <cell r="Q41">
            <v>2148.25</v>
          </cell>
          <cell r="R41">
            <v>2371.331909090909</v>
          </cell>
          <cell r="S41">
            <v>2754.1666666666665</v>
          </cell>
          <cell r="T41">
            <v>2478.75</v>
          </cell>
          <cell r="U41">
            <v>188.38500000000002</v>
          </cell>
          <cell r="V41">
            <v>1677.0833333333333</v>
          </cell>
          <cell r="W41">
            <v>2700</v>
          </cell>
          <cell r="X41">
            <v>2000</v>
          </cell>
          <cell r="Y41">
            <v>51001.845696969693</v>
          </cell>
          <cell r="AA41">
            <v>0.5</v>
          </cell>
          <cell r="AB41">
            <v>0.5</v>
          </cell>
          <cell r="AC41">
            <v>0.5</v>
          </cell>
          <cell r="AD41">
            <v>0.5</v>
          </cell>
          <cell r="AE41">
            <v>0.5</v>
          </cell>
          <cell r="AF41">
            <v>0.5</v>
          </cell>
          <cell r="AG41">
            <v>0.5</v>
          </cell>
          <cell r="AH41">
            <v>0.5</v>
          </cell>
          <cell r="AI41">
            <v>0.5</v>
          </cell>
          <cell r="AJ41">
            <v>0.5</v>
          </cell>
          <cell r="AK41">
            <v>0.5</v>
          </cell>
          <cell r="AL41">
            <v>0.5</v>
          </cell>
          <cell r="AN41">
            <v>7183.3585488689714</v>
          </cell>
          <cell r="AO41">
            <v>7183.3585488689714</v>
          </cell>
          <cell r="AP41">
            <v>7183.3585488689714</v>
          </cell>
          <cell r="AQ41">
            <v>7183.3585488689714</v>
          </cell>
          <cell r="AR41">
            <v>7183.3585488689714</v>
          </cell>
          <cell r="AS41">
            <v>7183.3585488689714</v>
          </cell>
          <cell r="AT41">
            <v>7183.3585488689714</v>
          </cell>
          <cell r="AU41">
            <v>7183.3585488689714</v>
          </cell>
          <cell r="AV41">
            <v>7183.3585488689714</v>
          </cell>
          <cell r="AW41">
            <v>7183.3585488689714</v>
          </cell>
          <cell r="AX41">
            <v>7183.3585488689714</v>
          </cell>
          <cell r="AY41">
            <v>7183.3585488689714</v>
          </cell>
        </row>
        <row r="42">
          <cell r="A42" t="str">
            <v>EVOGENE</v>
          </cell>
          <cell r="B42"/>
          <cell r="C42" t="str">
            <v>SOW - Div</v>
          </cell>
          <cell r="D42" t="str">
            <v>Ag-Chemistry</v>
          </cell>
          <cell r="E42" t="str">
            <v>Ag-Chemistry</v>
          </cell>
          <cell r="F42">
            <v>24372658</v>
          </cell>
          <cell r="G42" t="str">
            <v>Avishag Levi Bar-shalom</v>
          </cell>
          <cell r="H42">
            <v>1</v>
          </cell>
          <cell r="I42">
            <v>21000</v>
          </cell>
          <cell r="J42">
            <v>0</v>
          </cell>
          <cell r="K42">
            <v>21000</v>
          </cell>
          <cell r="L42">
            <v>813</v>
          </cell>
          <cell r="M42">
            <v>1037.73</v>
          </cell>
          <cell r="N42">
            <v>220.5</v>
          </cell>
          <cell r="O42">
            <v>397.72727272727269</v>
          </cell>
          <cell r="P42">
            <v>120</v>
          </cell>
          <cell r="Q42">
            <v>1365</v>
          </cell>
          <cell r="R42">
            <v>1539.2127954545454</v>
          </cell>
          <cell r="S42">
            <v>1750</v>
          </cell>
          <cell r="T42">
            <v>1575</v>
          </cell>
          <cell r="U42">
            <v>119.7</v>
          </cell>
          <cell r="V42">
            <v>1006.2499999999999</v>
          </cell>
          <cell r="W42">
            <v>0</v>
          </cell>
          <cell r="X42">
            <v>0</v>
          </cell>
          <cell r="Y42">
            <v>30944.120068181819</v>
          </cell>
          <cell r="AA42">
            <v>0.8</v>
          </cell>
          <cell r="AB42">
            <v>0.8</v>
          </cell>
          <cell r="AC42">
            <v>0.8</v>
          </cell>
          <cell r="AD42">
            <v>0.8</v>
          </cell>
          <cell r="AE42">
            <v>0.8</v>
          </cell>
          <cell r="AF42">
            <v>0.8</v>
          </cell>
          <cell r="AG42">
            <v>0.8</v>
          </cell>
          <cell r="AH42">
            <v>0.8</v>
          </cell>
          <cell r="AI42">
            <v>0.8</v>
          </cell>
          <cell r="AJ42">
            <v>0.8</v>
          </cell>
          <cell r="AK42">
            <v>0.8</v>
          </cell>
          <cell r="AL42">
            <v>0.8</v>
          </cell>
          <cell r="AN42">
            <v>6973.3228322663253</v>
          </cell>
          <cell r="AO42">
            <v>6973.3228322663253</v>
          </cell>
          <cell r="AP42">
            <v>6973.3228322663253</v>
          </cell>
          <cell r="AQ42">
            <v>6973.3228322663253</v>
          </cell>
          <cell r="AR42">
            <v>6973.3228322663253</v>
          </cell>
          <cell r="AS42">
            <v>6973.3228322663253</v>
          </cell>
          <cell r="AT42">
            <v>6973.3228322663253</v>
          </cell>
          <cell r="AU42">
            <v>6973.3228322663253</v>
          </cell>
          <cell r="AV42">
            <v>6973.3228322663253</v>
          </cell>
          <cell r="AW42">
            <v>6973.3228322663253</v>
          </cell>
          <cell r="AX42">
            <v>6973.3228322663253</v>
          </cell>
          <cell r="AY42">
            <v>6973.3228322663253</v>
          </cell>
        </row>
        <row r="43">
          <cell r="A43" t="str">
            <v>EVOGENE</v>
          </cell>
          <cell r="B43"/>
          <cell r="C43" t="str">
            <v>SOW - Div</v>
          </cell>
          <cell r="D43" t="str">
            <v>Ag-Chemistry</v>
          </cell>
          <cell r="E43" t="str">
            <v>Ag-Chemistry</v>
          </cell>
          <cell r="F43">
            <v>31385057</v>
          </cell>
          <cell r="G43" t="str">
            <v>Karin Rand</v>
          </cell>
          <cell r="H43">
            <v>1</v>
          </cell>
          <cell r="I43">
            <v>15750</v>
          </cell>
          <cell r="J43">
            <v>0</v>
          </cell>
          <cell r="K43">
            <v>15750</v>
          </cell>
          <cell r="L43">
            <v>813</v>
          </cell>
          <cell r="M43">
            <v>424.56</v>
          </cell>
          <cell r="N43">
            <v>189</v>
          </cell>
          <cell r="O43">
            <v>298.29545454545456</v>
          </cell>
          <cell r="P43">
            <v>0</v>
          </cell>
          <cell r="Q43">
            <v>1023.75</v>
          </cell>
          <cell r="R43">
            <v>1080.6551590909094</v>
          </cell>
          <cell r="S43">
            <v>1312.5</v>
          </cell>
          <cell r="T43">
            <v>1181.25</v>
          </cell>
          <cell r="U43">
            <v>89.775000000000006</v>
          </cell>
          <cell r="V43">
            <v>754.6875</v>
          </cell>
          <cell r="W43">
            <v>0</v>
          </cell>
          <cell r="X43">
            <v>0</v>
          </cell>
          <cell r="Y43">
            <v>22917.47311363637</v>
          </cell>
          <cell r="AA43">
            <v>1</v>
          </cell>
          <cell r="AB43">
            <v>1</v>
          </cell>
          <cell r="AC43">
            <v>1</v>
          </cell>
          <cell r="AD43">
            <v>1</v>
          </cell>
          <cell r="AE43">
            <v>1</v>
          </cell>
          <cell r="AF43">
            <v>1</v>
          </cell>
          <cell r="AG43">
            <v>1</v>
          </cell>
          <cell r="AH43">
            <v>1</v>
          </cell>
          <cell r="AI43">
            <v>1</v>
          </cell>
          <cell r="AJ43">
            <v>1</v>
          </cell>
          <cell r="AK43">
            <v>1</v>
          </cell>
          <cell r="AL43">
            <v>1</v>
          </cell>
          <cell r="AN43">
            <v>6455.6262291933435</v>
          </cell>
          <cell r="AO43">
            <v>6455.6262291933435</v>
          </cell>
          <cell r="AP43">
            <v>6455.6262291933435</v>
          </cell>
          <cell r="AQ43">
            <v>6455.6262291933435</v>
          </cell>
          <cell r="AR43">
            <v>6455.6262291933435</v>
          </cell>
          <cell r="AS43">
            <v>6455.6262291933435</v>
          </cell>
          <cell r="AT43">
            <v>6455.6262291933435</v>
          </cell>
          <cell r="AU43">
            <v>6455.6262291933435</v>
          </cell>
          <cell r="AV43">
            <v>6455.6262291933435</v>
          </cell>
          <cell r="AW43">
            <v>6455.6262291933435</v>
          </cell>
          <cell r="AX43">
            <v>6455.6262291933435</v>
          </cell>
          <cell r="AY43">
            <v>6455.6262291933435</v>
          </cell>
        </row>
        <row r="44">
          <cell r="A44"/>
          <cell r="B44"/>
          <cell r="D44"/>
          <cell r="I44"/>
          <cell r="J44"/>
          <cell r="K44"/>
          <cell r="L44"/>
          <cell r="M44"/>
          <cell r="N44"/>
          <cell r="O44"/>
          <cell r="P44"/>
          <cell r="Q44">
            <v>0</v>
          </cell>
          <cell r="R44"/>
          <cell r="S44">
            <v>0</v>
          </cell>
          <cell r="T44">
            <v>0</v>
          </cell>
          <cell r="U44">
            <v>0</v>
          </cell>
          <cell r="V44"/>
          <cell r="W44"/>
          <cell r="X44"/>
          <cell r="Y44" t="str">
            <v/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N44" t="str">
            <v/>
          </cell>
          <cell r="AO44" t="str">
            <v/>
          </cell>
          <cell r="AP44" t="str">
            <v/>
          </cell>
          <cell r="AQ44" t="str">
            <v/>
          </cell>
          <cell r="AR44" t="str">
            <v/>
          </cell>
          <cell r="AS44" t="str">
            <v/>
          </cell>
          <cell r="AT44" t="str">
            <v/>
          </cell>
          <cell r="AU44" t="str">
            <v/>
          </cell>
          <cell r="AV44" t="str">
            <v/>
          </cell>
          <cell r="AW44" t="str">
            <v/>
          </cell>
          <cell r="AX44" t="str">
            <v/>
          </cell>
          <cell r="AY44" t="str">
            <v/>
          </cell>
        </row>
        <row r="45">
          <cell r="A45" t="str">
            <v>EVOGENE</v>
          </cell>
          <cell r="B45"/>
          <cell r="C45" t="str">
            <v>SOW - Div</v>
          </cell>
          <cell r="D45" t="str">
            <v>Ag-Seed</v>
          </cell>
          <cell r="E45" t="str">
            <v>Ag-Seed</v>
          </cell>
          <cell r="F45">
            <v>15680341</v>
          </cell>
          <cell r="G45" t="str">
            <v>Ada Viterbo</v>
          </cell>
          <cell r="H45">
            <v>1</v>
          </cell>
          <cell r="I45">
            <v>21000</v>
          </cell>
          <cell r="J45">
            <v>0</v>
          </cell>
          <cell r="K45">
            <v>21000</v>
          </cell>
          <cell r="L45">
            <v>813</v>
          </cell>
          <cell r="M45">
            <v>290.56</v>
          </cell>
          <cell r="N45">
            <v>220.5</v>
          </cell>
          <cell r="O45">
            <v>397.72727272727269</v>
          </cell>
          <cell r="P45">
            <v>0</v>
          </cell>
          <cell r="Q45">
            <v>1365</v>
          </cell>
          <cell r="R45">
            <v>1474.1750454545456</v>
          </cell>
          <cell r="S45">
            <v>1750</v>
          </cell>
          <cell r="T45">
            <v>1575</v>
          </cell>
          <cell r="U45">
            <v>119.7</v>
          </cell>
          <cell r="V45">
            <v>1006.2499999999999</v>
          </cell>
          <cell r="W45">
            <v>0</v>
          </cell>
          <cell r="X45">
            <v>0</v>
          </cell>
          <cell r="Y45">
            <v>30011.912318181821</v>
          </cell>
          <cell r="AA45">
            <v>1</v>
          </cell>
          <cell r="AB45">
            <v>1</v>
          </cell>
          <cell r="AC45">
            <v>1</v>
          </cell>
          <cell r="AD45">
            <v>1</v>
          </cell>
          <cell r="AE45">
            <v>1</v>
          </cell>
          <cell r="AF45">
            <v>1</v>
          </cell>
          <cell r="AG45">
            <v>1</v>
          </cell>
          <cell r="AH45">
            <v>1</v>
          </cell>
          <cell r="AI45">
            <v>1</v>
          </cell>
          <cell r="AJ45">
            <v>1</v>
          </cell>
          <cell r="AK45">
            <v>1</v>
          </cell>
          <cell r="AL45">
            <v>1</v>
          </cell>
          <cell r="AN45">
            <v>8454.0598079385418</v>
          </cell>
          <cell r="AO45">
            <v>8454.0598079385418</v>
          </cell>
          <cell r="AP45">
            <v>8454.0598079385418</v>
          </cell>
          <cell r="AQ45">
            <v>8454.0598079385418</v>
          </cell>
          <cell r="AR45">
            <v>8454.0598079385418</v>
          </cell>
          <cell r="AS45">
            <v>8454.0598079385418</v>
          </cell>
          <cell r="AT45">
            <v>8454.0598079385418</v>
          </cell>
          <cell r="AU45">
            <v>8454.0598079385418</v>
          </cell>
          <cell r="AV45">
            <v>8454.0598079385418</v>
          </cell>
          <cell r="AW45">
            <v>8454.0598079385418</v>
          </cell>
          <cell r="AX45">
            <v>8454.0598079385418</v>
          </cell>
          <cell r="AY45">
            <v>8454.0598079385418</v>
          </cell>
        </row>
        <row r="46">
          <cell r="A46" t="str">
            <v>EVOGENE</v>
          </cell>
          <cell r="B46"/>
          <cell r="C46" t="str">
            <v>SOW - Div</v>
          </cell>
          <cell r="D46" t="str">
            <v>Ag-Seed</v>
          </cell>
          <cell r="E46" t="str">
            <v>Ag-Seed</v>
          </cell>
          <cell r="F46">
            <v>27351329</v>
          </cell>
          <cell r="G46" t="str">
            <v>Michal Simovitch</v>
          </cell>
          <cell r="H46">
            <v>1</v>
          </cell>
          <cell r="I46">
            <v>17250</v>
          </cell>
          <cell r="J46">
            <v>0</v>
          </cell>
          <cell r="K46">
            <v>17250</v>
          </cell>
          <cell r="L46">
            <v>813</v>
          </cell>
          <cell r="M46">
            <v>290.57</v>
          </cell>
          <cell r="N46">
            <v>189</v>
          </cell>
          <cell r="O46">
            <v>326.70454545454544</v>
          </cell>
          <cell r="P46">
            <v>0</v>
          </cell>
          <cell r="Q46">
            <v>1121.25</v>
          </cell>
          <cell r="R46">
            <v>1185.2365909090909</v>
          </cell>
          <cell r="S46">
            <v>1437.5</v>
          </cell>
          <cell r="T46">
            <v>1293.75</v>
          </cell>
          <cell r="U46">
            <v>98.325000000000003</v>
          </cell>
          <cell r="V46">
            <v>826.5625</v>
          </cell>
          <cell r="W46">
            <v>0</v>
          </cell>
          <cell r="X46">
            <v>0</v>
          </cell>
          <cell r="Y46">
            <v>24831.898636363636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</row>
        <row r="47">
          <cell r="A47" t="str">
            <v>EVOGENE</v>
          </cell>
          <cell r="B47"/>
          <cell r="C47" t="str">
            <v>SOW - Div</v>
          </cell>
          <cell r="D47" t="str">
            <v>Ag-Seed</v>
          </cell>
          <cell r="E47" t="str">
            <v>Ag-Seed</v>
          </cell>
          <cell r="F47">
            <v>39726682</v>
          </cell>
          <cell r="G47" t="str">
            <v>Noam Ben-Naim</v>
          </cell>
          <cell r="H47">
            <v>1</v>
          </cell>
          <cell r="I47">
            <v>10250</v>
          </cell>
          <cell r="J47">
            <v>0</v>
          </cell>
          <cell r="K47">
            <v>10250</v>
          </cell>
          <cell r="L47">
            <v>813</v>
          </cell>
          <cell r="M47">
            <v>355.88</v>
          </cell>
          <cell r="N47">
            <v>220.5</v>
          </cell>
          <cell r="O47">
            <v>194.12878787878788</v>
          </cell>
          <cell r="P47">
            <v>0</v>
          </cell>
          <cell r="Q47">
            <v>666.25</v>
          </cell>
          <cell r="R47">
            <v>657.55415909090902</v>
          </cell>
          <cell r="S47">
            <v>854.16666666666663</v>
          </cell>
          <cell r="T47">
            <v>768.75</v>
          </cell>
          <cell r="U47">
            <v>58.425000000000004</v>
          </cell>
          <cell r="V47">
            <v>491.14583333333326</v>
          </cell>
          <cell r="W47">
            <v>0</v>
          </cell>
          <cell r="X47">
            <v>0</v>
          </cell>
          <cell r="Y47">
            <v>15329.800446969695</v>
          </cell>
          <cell r="AA47">
            <v>1</v>
          </cell>
          <cell r="AB47">
            <v>1</v>
          </cell>
          <cell r="AC47">
            <v>1</v>
          </cell>
          <cell r="AD47">
            <v>1</v>
          </cell>
          <cell r="AE47">
            <v>1</v>
          </cell>
          <cell r="AF47">
            <v>1</v>
          </cell>
          <cell r="AG47">
            <v>1</v>
          </cell>
          <cell r="AH47">
            <v>1</v>
          </cell>
          <cell r="AI47">
            <v>1</v>
          </cell>
          <cell r="AJ47">
            <v>1</v>
          </cell>
          <cell r="AK47">
            <v>1</v>
          </cell>
          <cell r="AL47">
            <v>1</v>
          </cell>
          <cell r="AN47">
            <v>4318.2536470337172</v>
          </cell>
          <cell r="AO47">
            <v>4318.2536470337172</v>
          </cell>
          <cell r="AP47">
            <v>4318.2536470337172</v>
          </cell>
          <cell r="AQ47">
            <v>4318.2536470337172</v>
          </cell>
          <cell r="AR47">
            <v>4318.2536470337172</v>
          </cell>
          <cell r="AS47">
            <v>4318.2536470337172</v>
          </cell>
          <cell r="AT47">
            <v>4318.2536470337172</v>
          </cell>
          <cell r="AU47">
            <v>4318.2536470337172</v>
          </cell>
          <cell r="AV47">
            <v>4318.2536470337172</v>
          </cell>
          <cell r="AW47">
            <v>4318.2536470337172</v>
          </cell>
          <cell r="AX47">
            <v>4318.2536470337172</v>
          </cell>
          <cell r="AY47">
            <v>4318.2536470337172</v>
          </cell>
        </row>
        <row r="48">
          <cell r="A48" t="str">
            <v>EVOGENE</v>
          </cell>
          <cell r="B48"/>
          <cell r="C48" t="str">
            <v>SOW - Div</v>
          </cell>
          <cell r="D48" t="str">
            <v>Ag-Seed</v>
          </cell>
          <cell r="E48" t="str">
            <v>Ag-Seed</v>
          </cell>
          <cell r="F48">
            <v>311721047</v>
          </cell>
          <cell r="G48" t="str">
            <v>Judith Vinocur-Basia</v>
          </cell>
          <cell r="H48">
            <v>0.8</v>
          </cell>
          <cell r="I48">
            <v>26000</v>
          </cell>
          <cell r="J48">
            <v>0</v>
          </cell>
          <cell r="K48">
            <v>32500</v>
          </cell>
          <cell r="L48">
            <v>813</v>
          </cell>
          <cell r="M48">
            <v>290.57</v>
          </cell>
          <cell r="N48">
            <v>220.5</v>
          </cell>
          <cell r="O48">
            <v>492.42424242424244</v>
          </cell>
          <cell r="P48">
            <v>120</v>
          </cell>
          <cell r="Q48">
            <v>2112.5</v>
          </cell>
          <cell r="R48">
            <v>2352.7780681818181</v>
          </cell>
          <cell r="S48">
            <v>2708.333333333333</v>
          </cell>
          <cell r="T48">
            <v>2437.5</v>
          </cell>
          <cell r="U48">
            <v>185.25</v>
          </cell>
          <cell r="V48">
            <v>1557.2916666666667</v>
          </cell>
          <cell r="W48">
            <v>0</v>
          </cell>
          <cell r="X48">
            <v>0</v>
          </cell>
          <cell r="Y48">
            <v>45790.147310606058</v>
          </cell>
          <cell r="AA48">
            <v>0.8</v>
          </cell>
          <cell r="AB48">
            <v>0.8</v>
          </cell>
          <cell r="AC48">
            <v>0.8</v>
          </cell>
          <cell r="AD48">
            <v>0.8</v>
          </cell>
          <cell r="AE48">
            <v>0.8</v>
          </cell>
          <cell r="AF48">
            <v>0.8</v>
          </cell>
          <cell r="AG48">
            <v>0.8</v>
          </cell>
          <cell r="AH48">
            <v>0.8</v>
          </cell>
          <cell r="AI48">
            <v>0.8</v>
          </cell>
          <cell r="AJ48">
            <v>0.8</v>
          </cell>
          <cell r="AK48">
            <v>0.8</v>
          </cell>
          <cell r="AL48">
            <v>0.8</v>
          </cell>
          <cell r="AN48">
            <v>10318.906436192916</v>
          </cell>
          <cell r="AO48">
            <v>10318.906436192916</v>
          </cell>
          <cell r="AP48">
            <v>10318.906436192916</v>
          </cell>
          <cell r="AQ48">
            <v>10318.906436192916</v>
          </cell>
          <cell r="AR48">
            <v>10318.906436192916</v>
          </cell>
          <cell r="AS48">
            <v>10318.906436192916</v>
          </cell>
          <cell r="AT48">
            <v>10318.906436192916</v>
          </cell>
          <cell r="AU48">
            <v>10318.906436192916</v>
          </cell>
          <cell r="AV48">
            <v>10318.906436192916</v>
          </cell>
          <cell r="AW48">
            <v>10318.906436192916</v>
          </cell>
          <cell r="AX48">
            <v>10318.906436192916</v>
          </cell>
          <cell r="AY48">
            <v>10318.906436192916</v>
          </cell>
        </row>
        <row r="49">
          <cell r="A49"/>
          <cell r="B49"/>
          <cell r="D49"/>
          <cell r="I49"/>
          <cell r="J49"/>
          <cell r="K49"/>
          <cell r="L49"/>
          <cell r="M49"/>
          <cell r="N49"/>
          <cell r="O49"/>
          <cell r="P49"/>
          <cell r="Q49">
            <v>0</v>
          </cell>
          <cell r="R49"/>
          <cell r="S49">
            <v>0</v>
          </cell>
          <cell r="T49">
            <v>0</v>
          </cell>
          <cell r="U49">
            <v>0</v>
          </cell>
          <cell r="V49"/>
          <cell r="W49"/>
          <cell r="X49"/>
          <cell r="Y49" t="str">
            <v/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N49" t="str">
            <v/>
          </cell>
          <cell r="AO49" t="str">
            <v/>
          </cell>
          <cell r="AP49" t="str">
            <v/>
          </cell>
          <cell r="AQ49" t="str">
            <v/>
          </cell>
          <cell r="AR49" t="str">
            <v/>
          </cell>
          <cell r="AS49" t="str">
            <v/>
          </cell>
          <cell r="AT49" t="str">
            <v/>
          </cell>
          <cell r="AU49" t="str">
            <v/>
          </cell>
          <cell r="AV49" t="str">
            <v/>
          </cell>
          <cell r="AW49" t="str">
            <v/>
          </cell>
          <cell r="AX49" t="str">
            <v/>
          </cell>
          <cell r="AY49" t="str">
            <v/>
          </cell>
        </row>
        <row r="50">
          <cell r="A50"/>
          <cell r="B50"/>
          <cell r="D50"/>
          <cell r="I50"/>
          <cell r="J50"/>
          <cell r="K50"/>
          <cell r="L50"/>
          <cell r="M50"/>
          <cell r="N50"/>
          <cell r="O50"/>
          <cell r="P50"/>
          <cell r="Q50">
            <v>0</v>
          </cell>
          <cell r="R50"/>
          <cell r="S50">
            <v>0</v>
          </cell>
          <cell r="T50">
            <v>0</v>
          </cell>
          <cell r="U50">
            <v>0</v>
          </cell>
          <cell r="V50"/>
          <cell r="W50"/>
          <cell r="X50"/>
          <cell r="Y50" t="str">
            <v/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N50" t="str">
            <v/>
          </cell>
          <cell r="AO50" t="str">
            <v/>
          </cell>
          <cell r="AP50" t="str">
            <v/>
          </cell>
          <cell r="AQ50" t="str">
            <v/>
          </cell>
          <cell r="AR50" t="str">
            <v/>
          </cell>
          <cell r="AS50" t="str">
            <v/>
          </cell>
          <cell r="AT50" t="str">
            <v/>
          </cell>
          <cell r="AU50" t="str">
            <v/>
          </cell>
          <cell r="AV50" t="str">
            <v/>
          </cell>
          <cell r="AW50" t="str">
            <v/>
          </cell>
          <cell r="AX50" t="str">
            <v/>
          </cell>
          <cell r="AY50" t="str">
            <v/>
          </cell>
        </row>
        <row r="51">
          <cell r="A51" t="str">
            <v>EVOGENE</v>
          </cell>
          <cell r="B51"/>
          <cell r="C51" t="str">
            <v>SOW</v>
          </cell>
          <cell r="D51" t="str">
            <v>Ag-Seed</v>
          </cell>
          <cell r="E51" t="str">
            <v>Ag-Seed Exec. MGMT</v>
          </cell>
          <cell r="F51">
            <v>17745225</v>
          </cell>
          <cell r="G51" t="str">
            <v>Arnon Heyman</v>
          </cell>
          <cell r="H51">
            <v>1</v>
          </cell>
          <cell r="I51">
            <v>35000</v>
          </cell>
          <cell r="J51">
            <v>0</v>
          </cell>
          <cell r="K51">
            <v>35000</v>
          </cell>
          <cell r="L51">
            <v>813</v>
          </cell>
          <cell r="M51">
            <v>943.4</v>
          </cell>
          <cell r="N51">
            <v>157.5</v>
          </cell>
          <cell r="O51">
            <v>662.87878787878788</v>
          </cell>
          <cell r="P51">
            <v>120</v>
          </cell>
          <cell r="Q51">
            <v>2275</v>
          </cell>
          <cell r="R51">
            <v>2597.2994090909087</v>
          </cell>
          <cell r="S51">
            <v>2916.6666666666665</v>
          </cell>
          <cell r="T51">
            <v>2625</v>
          </cell>
          <cell r="U51">
            <v>199.5</v>
          </cell>
          <cell r="V51">
            <v>5833.333333333333</v>
          </cell>
          <cell r="W51">
            <v>0</v>
          </cell>
          <cell r="X51">
            <v>0</v>
          </cell>
          <cell r="Y51">
            <v>54143.578196969698</v>
          </cell>
          <cell r="AA51">
            <v>1</v>
          </cell>
          <cell r="AB51">
            <v>1</v>
          </cell>
          <cell r="AC51">
            <v>1</v>
          </cell>
          <cell r="AD51">
            <v>1</v>
          </cell>
          <cell r="AE51">
            <v>1</v>
          </cell>
          <cell r="AF51">
            <v>1</v>
          </cell>
          <cell r="AG51">
            <v>1</v>
          </cell>
          <cell r="AH51">
            <v>1</v>
          </cell>
          <cell r="AI51">
            <v>1</v>
          </cell>
          <cell r="AJ51">
            <v>1</v>
          </cell>
          <cell r="AK51">
            <v>1</v>
          </cell>
          <cell r="AL51">
            <v>1</v>
          </cell>
          <cell r="AN51">
            <v>15251.712168160479</v>
          </cell>
          <cell r="AO51">
            <v>15251.712168160479</v>
          </cell>
          <cell r="AP51">
            <v>15251.712168160479</v>
          </cell>
          <cell r="AQ51">
            <v>15251.712168160479</v>
          </cell>
          <cell r="AR51">
            <v>15251.712168160479</v>
          </cell>
          <cell r="AS51">
            <v>15251.712168160479</v>
          </cell>
          <cell r="AT51">
            <v>15251.712168160479</v>
          </cell>
          <cell r="AU51">
            <v>15251.712168160479</v>
          </cell>
          <cell r="AV51">
            <v>15251.712168160479</v>
          </cell>
          <cell r="AW51">
            <v>15251.712168160479</v>
          </cell>
          <cell r="AX51">
            <v>15251.712168160479</v>
          </cell>
          <cell r="AY51">
            <v>15251.712168160479</v>
          </cell>
        </row>
        <row r="52">
          <cell r="A52" t="str">
            <v>EVOGENE</v>
          </cell>
          <cell r="B52"/>
          <cell r="C52" t="str">
            <v>SOW - Div</v>
          </cell>
          <cell r="D52" t="str">
            <v>Ag-Chemistry</v>
          </cell>
          <cell r="E52" t="str">
            <v>PM-Chem</v>
          </cell>
          <cell r="F52">
            <v>31566714</v>
          </cell>
          <cell r="G52" t="str">
            <v>Mirit Ram</v>
          </cell>
          <cell r="H52">
            <v>1</v>
          </cell>
          <cell r="I52">
            <v>23000</v>
          </cell>
          <cell r="J52">
            <v>-2167</v>
          </cell>
          <cell r="K52">
            <v>20833</v>
          </cell>
          <cell r="L52">
            <v>813</v>
          </cell>
          <cell r="M52">
            <v>0</v>
          </cell>
          <cell r="N52">
            <v>157.5</v>
          </cell>
          <cell r="O52">
            <v>435.60606060606068</v>
          </cell>
          <cell r="P52">
            <v>120</v>
          </cell>
          <cell r="Q52">
            <v>1354.145</v>
          </cell>
          <cell r="R52">
            <v>1446.9739545454545</v>
          </cell>
          <cell r="S52">
            <v>1736.0833333333333</v>
          </cell>
          <cell r="T52">
            <v>1562.4749999999999</v>
          </cell>
          <cell r="U52">
            <v>118.74810000000001</v>
          </cell>
          <cell r="V52">
            <v>1102.0833333333333</v>
          </cell>
          <cell r="W52">
            <v>2650</v>
          </cell>
          <cell r="X52">
            <v>1100</v>
          </cell>
          <cell r="Y52">
            <v>33429.614781818178</v>
          </cell>
          <cell r="AA52">
            <v>0</v>
          </cell>
          <cell r="AB52">
            <v>0</v>
          </cell>
          <cell r="AC52">
            <v>0</v>
          </cell>
          <cell r="AD52"/>
          <cell r="AE52">
            <v>1</v>
          </cell>
          <cell r="AF52">
            <v>1</v>
          </cell>
          <cell r="AG52">
            <v>1</v>
          </cell>
          <cell r="AH52">
            <v>1</v>
          </cell>
          <cell r="AI52">
            <v>1</v>
          </cell>
          <cell r="AJ52">
            <v>1</v>
          </cell>
          <cell r="AK52">
            <v>1</v>
          </cell>
          <cell r="AL52">
            <v>1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9416.7928962868118</v>
          </cell>
          <cell r="AS52">
            <v>9416.7928962868118</v>
          </cell>
          <cell r="AT52">
            <v>9416.7928962868118</v>
          </cell>
          <cell r="AU52">
            <v>9416.7928962868118</v>
          </cell>
          <cell r="AV52">
            <v>9416.7928962868118</v>
          </cell>
          <cell r="AW52">
            <v>9416.7928962868118</v>
          </cell>
          <cell r="AX52">
            <v>9416.7928962868118</v>
          </cell>
          <cell r="AY52">
            <v>9416.7928962868118</v>
          </cell>
        </row>
        <row r="53">
          <cell r="A53" t="str">
            <v>EVOGENE</v>
          </cell>
          <cell r="B53"/>
          <cell r="C53" t="str">
            <v>SOW - Div</v>
          </cell>
          <cell r="D53" t="str">
            <v>Ag-Seed</v>
          </cell>
          <cell r="E53" t="str">
            <v>Ag-Seed</v>
          </cell>
          <cell r="F53">
            <v>46116182</v>
          </cell>
          <cell r="G53" t="str">
            <v>Or Rotem</v>
          </cell>
          <cell r="H53">
            <v>1</v>
          </cell>
          <cell r="I53">
            <v>17000</v>
          </cell>
          <cell r="J53">
            <v>0</v>
          </cell>
          <cell r="K53">
            <v>17000</v>
          </cell>
          <cell r="L53">
            <v>813</v>
          </cell>
          <cell r="M53">
            <v>290.56</v>
          </cell>
          <cell r="N53">
            <v>189</v>
          </cell>
          <cell r="O53">
            <v>321.969696969697</v>
          </cell>
          <cell r="P53">
            <v>0</v>
          </cell>
          <cell r="Q53">
            <v>1105</v>
          </cell>
          <cell r="R53">
            <v>1166.1307272727272</v>
          </cell>
          <cell r="S53">
            <v>1416.6666666666665</v>
          </cell>
          <cell r="T53">
            <v>1275</v>
          </cell>
          <cell r="U53">
            <v>96.9</v>
          </cell>
          <cell r="V53">
            <v>814.58333333333337</v>
          </cell>
          <cell r="W53">
            <v>0</v>
          </cell>
          <cell r="X53">
            <v>0</v>
          </cell>
          <cell r="Y53">
            <v>24488.810424242427</v>
          </cell>
          <cell r="AA53">
            <v>1</v>
          </cell>
          <cell r="AB53">
            <v>1</v>
          </cell>
          <cell r="AC53">
            <v>1</v>
          </cell>
          <cell r="AD53">
            <v>1</v>
          </cell>
          <cell r="AE53">
            <v>1</v>
          </cell>
          <cell r="AF53">
            <v>1</v>
          </cell>
          <cell r="AG53">
            <v>1</v>
          </cell>
          <cell r="AH53">
            <v>1</v>
          </cell>
          <cell r="AI53">
            <v>1</v>
          </cell>
          <cell r="AJ53">
            <v>1</v>
          </cell>
          <cell r="AK53">
            <v>1</v>
          </cell>
          <cell r="AL53">
            <v>1</v>
          </cell>
          <cell r="AN53">
            <v>6898.256457533078</v>
          </cell>
          <cell r="AO53">
            <v>6898.256457533078</v>
          </cell>
          <cell r="AP53">
            <v>6898.256457533078</v>
          </cell>
          <cell r="AQ53">
            <v>6898.256457533078</v>
          </cell>
          <cell r="AR53">
            <v>6898.256457533078</v>
          </cell>
          <cell r="AS53">
            <v>6898.256457533078</v>
          </cell>
          <cell r="AT53">
            <v>6898.256457533078</v>
          </cell>
          <cell r="AU53">
            <v>6898.256457533078</v>
          </cell>
          <cell r="AV53">
            <v>6898.256457533078</v>
          </cell>
          <cell r="AW53">
            <v>6898.256457533078</v>
          </cell>
          <cell r="AX53">
            <v>6898.256457533078</v>
          </cell>
          <cell r="AY53">
            <v>6898.256457533078</v>
          </cell>
        </row>
        <row r="54">
          <cell r="A54"/>
          <cell r="B54"/>
          <cell r="D54"/>
          <cell r="I54"/>
          <cell r="J54"/>
          <cell r="K54"/>
          <cell r="L54"/>
          <cell r="M54"/>
          <cell r="N54"/>
          <cell r="O54"/>
          <cell r="P54"/>
          <cell r="Q54">
            <v>0</v>
          </cell>
          <cell r="R54"/>
          <cell r="S54">
            <v>0</v>
          </cell>
          <cell r="T54">
            <v>0</v>
          </cell>
          <cell r="U54">
            <v>0</v>
          </cell>
          <cell r="V54"/>
          <cell r="W54"/>
          <cell r="X54"/>
          <cell r="Y54" t="str">
            <v/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N54" t="str">
            <v/>
          </cell>
          <cell r="AO54" t="str">
            <v/>
          </cell>
          <cell r="AP54" t="str">
            <v/>
          </cell>
          <cell r="AQ54" t="str">
            <v/>
          </cell>
          <cell r="AR54" t="str">
            <v/>
          </cell>
          <cell r="AS54" t="str">
            <v/>
          </cell>
          <cell r="AT54" t="str">
            <v/>
          </cell>
          <cell r="AU54" t="str">
            <v/>
          </cell>
          <cell r="AV54" t="str">
            <v/>
          </cell>
          <cell r="AW54" t="str">
            <v/>
          </cell>
          <cell r="AX54" t="str">
            <v/>
          </cell>
          <cell r="AY54" t="str">
            <v/>
          </cell>
        </row>
        <row r="55">
          <cell r="A55" t="str">
            <v>EVOGENE</v>
          </cell>
          <cell r="B55"/>
          <cell r="C55" t="str">
            <v>SOW</v>
          </cell>
          <cell r="D55" t="str">
            <v>Platform</v>
          </cell>
          <cell r="E55" t="str">
            <v>Molecular Lab</v>
          </cell>
          <cell r="F55">
            <v>17879115</v>
          </cell>
          <cell r="G55" t="str">
            <v>Itan Preis</v>
          </cell>
          <cell r="H55">
            <v>1</v>
          </cell>
          <cell r="I55">
            <v>15000</v>
          </cell>
          <cell r="J55">
            <v>0</v>
          </cell>
          <cell r="K55">
            <v>15000</v>
          </cell>
          <cell r="L55">
            <v>813</v>
          </cell>
          <cell r="M55">
            <v>223.18</v>
          </cell>
          <cell r="N55">
            <v>189</v>
          </cell>
          <cell r="O55">
            <v>284.09090909090912</v>
          </cell>
          <cell r="P55">
            <v>0</v>
          </cell>
          <cell r="Q55">
            <v>975</v>
          </cell>
          <cell r="R55">
            <v>1008.2363181818182</v>
          </cell>
          <cell r="S55">
            <v>1250</v>
          </cell>
          <cell r="T55">
            <v>1125</v>
          </cell>
          <cell r="U55">
            <v>85.5</v>
          </cell>
          <cell r="V55">
            <v>718.75</v>
          </cell>
          <cell r="W55">
            <v>0</v>
          </cell>
          <cell r="X55">
            <v>0</v>
          </cell>
          <cell r="Y55">
            <v>21671.757227272727</v>
          </cell>
          <cell r="AA55">
            <v>1</v>
          </cell>
          <cell r="AB55">
            <v>1</v>
          </cell>
          <cell r="AC55">
            <v>1</v>
          </cell>
          <cell r="AD55">
            <v>1</v>
          </cell>
          <cell r="AE55">
            <v>1</v>
          </cell>
          <cell r="AF55">
            <v>1</v>
          </cell>
          <cell r="AG55">
            <v>1</v>
          </cell>
          <cell r="AH55">
            <v>1</v>
          </cell>
          <cell r="AI55">
            <v>1</v>
          </cell>
          <cell r="AJ55">
            <v>1</v>
          </cell>
          <cell r="AK55">
            <v>1</v>
          </cell>
          <cell r="AL55">
            <v>1</v>
          </cell>
          <cell r="AN55">
            <v>6104.720345710628</v>
          </cell>
          <cell r="AO55">
            <v>6104.720345710628</v>
          </cell>
          <cell r="AP55">
            <v>6104.720345710628</v>
          </cell>
          <cell r="AQ55">
            <v>6104.720345710628</v>
          </cell>
          <cell r="AR55">
            <v>6104.720345710628</v>
          </cell>
          <cell r="AS55">
            <v>6104.720345710628</v>
          </cell>
          <cell r="AT55">
            <v>6104.720345710628</v>
          </cell>
          <cell r="AU55">
            <v>6104.720345710628</v>
          </cell>
          <cell r="AV55">
            <v>6104.720345710628</v>
          </cell>
          <cell r="AW55">
            <v>6104.720345710628</v>
          </cell>
          <cell r="AX55">
            <v>6104.720345710628</v>
          </cell>
          <cell r="AY55">
            <v>6104.720345710628</v>
          </cell>
        </row>
        <row r="56">
          <cell r="A56" t="str">
            <v>EVOGENE</v>
          </cell>
          <cell r="B56"/>
          <cell r="C56" t="str">
            <v>SOW</v>
          </cell>
          <cell r="D56" t="str">
            <v>Platform</v>
          </cell>
          <cell r="E56" t="str">
            <v>Molecular Lab</v>
          </cell>
          <cell r="F56">
            <v>35894484</v>
          </cell>
          <cell r="G56" t="str">
            <v>Edith Kario</v>
          </cell>
          <cell r="H56">
            <v>0.95</v>
          </cell>
          <cell r="I56">
            <v>17575</v>
          </cell>
          <cell r="J56">
            <v>0</v>
          </cell>
          <cell r="K56">
            <v>18500</v>
          </cell>
          <cell r="L56">
            <v>813</v>
          </cell>
          <cell r="M56">
            <v>486.8</v>
          </cell>
          <cell r="N56">
            <v>220.5</v>
          </cell>
          <cell r="O56">
            <v>332.8598484848485</v>
          </cell>
          <cell r="P56">
            <v>0</v>
          </cell>
          <cell r="Q56">
            <v>1202.5</v>
          </cell>
          <cell r="R56">
            <v>1296.5279886363635</v>
          </cell>
          <cell r="S56">
            <v>1541.6666666666665</v>
          </cell>
          <cell r="T56">
            <v>1387.5</v>
          </cell>
          <cell r="U56">
            <v>105.45</v>
          </cell>
          <cell r="V56">
            <v>886.45833333333337</v>
          </cell>
          <cell r="W56">
            <v>0</v>
          </cell>
          <cell r="X56">
            <v>0</v>
          </cell>
          <cell r="Y56">
            <v>26773.262837121212</v>
          </cell>
          <cell r="AA56">
            <v>0.7</v>
          </cell>
          <cell r="AB56">
            <v>0.7</v>
          </cell>
          <cell r="AC56">
            <v>0.7</v>
          </cell>
          <cell r="AD56">
            <v>0.7</v>
          </cell>
          <cell r="AE56">
            <v>0.7</v>
          </cell>
          <cell r="AF56">
            <v>0.7</v>
          </cell>
          <cell r="AG56">
            <v>0.7</v>
          </cell>
          <cell r="AH56">
            <v>0.7</v>
          </cell>
          <cell r="AI56">
            <v>0.7</v>
          </cell>
          <cell r="AJ56">
            <v>0.7</v>
          </cell>
          <cell r="AK56">
            <v>0.7</v>
          </cell>
          <cell r="AL56">
            <v>0.7</v>
          </cell>
          <cell r="AN56">
            <v>5279.2349256295347</v>
          </cell>
          <cell r="AO56">
            <v>5279.2349256295347</v>
          </cell>
          <cell r="AP56">
            <v>5279.2349256295347</v>
          </cell>
          <cell r="AQ56">
            <v>5279.2349256295347</v>
          </cell>
          <cell r="AR56">
            <v>5279.2349256295347</v>
          </cell>
          <cell r="AS56">
            <v>5279.2349256295347</v>
          </cell>
          <cell r="AT56">
            <v>5279.2349256295347</v>
          </cell>
          <cell r="AU56">
            <v>5279.2349256295347</v>
          </cell>
          <cell r="AV56">
            <v>5279.2349256295347</v>
          </cell>
          <cell r="AW56">
            <v>5279.2349256295347</v>
          </cell>
          <cell r="AX56">
            <v>5279.2349256295347</v>
          </cell>
          <cell r="AY56">
            <v>5279.2349256295347</v>
          </cell>
        </row>
        <row r="57">
          <cell r="A57" t="str">
            <v>EVOGENE</v>
          </cell>
          <cell r="B57"/>
          <cell r="C57" t="str">
            <v>SOW</v>
          </cell>
          <cell r="D57" t="str">
            <v>Platform</v>
          </cell>
          <cell r="E57" t="str">
            <v>Molecular Lab</v>
          </cell>
          <cell r="F57">
            <v>300540226</v>
          </cell>
          <cell r="G57" t="str">
            <v>Shani Naama</v>
          </cell>
          <cell r="H57">
            <v>1</v>
          </cell>
          <cell r="I57">
            <v>9200</v>
          </cell>
          <cell r="J57">
            <v>0</v>
          </cell>
          <cell r="K57">
            <v>9200</v>
          </cell>
          <cell r="L57">
            <v>813</v>
          </cell>
          <cell r="M57">
            <v>735.29</v>
          </cell>
          <cell r="N57">
            <v>189</v>
          </cell>
          <cell r="O57">
            <v>174.24242424242425</v>
          </cell>
          <cell r="P57">
            <v>0</v>
          </cell>
          <cell r="Q57">
            <v>598</v>
          </cell>
          <cell r="R57">
            <v>603.4059318181819</v>
          </cell>
          <cell r="S57">
            <v>766.66666666666663</v>
          </cell>
          <cell r="T57">
            <v>690</v>
          </cell>
          <cell r="U57">
            <v>52.440000000000005</v>
          </cell>
          <cell r="V57">
            <v>440.83333333333331</v>
          </cell>
          <cell r="W57">
            <v>0</v>
          </cell>
          <cell r="X57">
            <v>0</v>
          </cell>
          <cell r="Y57">
            <v>14262.878356060608</v>
          </cell>
          <cell r="AA57">
            <v>1</v>
          </cell>
          <cell r="AB57">
            <v>1</v>
          </cell>
          <cell r="AC57">
            <v>1</v>
          </cell>
          <cell r="AD57">
            <v>1</v>
          </cell>
          <cell r="AE57">
            <v>1</v>
          </cell>
          <cell r="AF57">
            <v>1</v>
          </cell>
          <cell r="AG57">
            <v>1</v>
          </cell>
          <cell r="AH57">
            <v>1</v>
          </cell>
          <cell r="AI57">
            <v>1</v>
          </cell>
          <cell r="AJ57">
            <v>1</v>
          </cell>
          <cell r="AK57">
            <v>1</v>
          </cell>
          <cell r="AL57">
            <v>1</v>
          </cell>
          <cell r="AN57">
            <v>4017.7122129748195</v>
          </cell>
          <cell r="AO57">
            <v>4017.7122129748195</v>
          </cell>
          <cell r="AP57">
            <v>4017.7122129748195</v>
          </cell>
          <cell r="AQ57">
            <v>4017.7122129748195</v>
          </cell>
          <cell r="AR57">
            <v>4017.7122129748195</v>
          </cell>
          <cell r="AS57">
            <v>4017.7122129748195</v>
          </cell>
          <cell r="AT57">
            <v>4017.7122129748195</v>
          </cell>
          <cell r="AU57">
            <v>4017.7122129748195</v>
          </cell>
          <cell r="AV57">
            <v>4017.7122129748195</v>
          </cell>
          <cell r="AW57">
            <v>4017.7122129748195</v>
          </cell>
          <cell r="AX57">
            <v>4017.7122129748195</v>
          </cell>
          <cell r="AY57">
            <v>4017.7122129748195</v>
          </cell>
        </row>
        <row r="58">
          <cell r="A58" t="str">
            <v>EVOGENE</v>
          </cell>
          <cell r="B58"/>
          <cell r="C58" t="str">
            <v>SOW</v>
          </cell>
          <cell r="D58" t="str">
            <v>Platform</v>
          </cell>
          <cell r="E58" t="str">
            <v>Microbiology lab</v>
          </cell>
          <cell r="F58">
            <v>306135153</v>
          </cell>
          <cell r="G58" t="str">
            <v>Olga Shaya</v>
          </cell>
          <cell r="H58">
            <v>1</v>
          </cell>
          <cell r="I58">
            <v>10500</v>
          </cell>
          <cell r="J58">
            <v>0</v>
          </cell>
          <cell r="K58">
            <v>10500</v>
          </cell>
          <cell r="L58">
            <v>813</v>
          </cell>
          <cell r="M58">
            <v>220.59</v>
          </cell>
          <cell r="N58">
            <v>189</v>
          </cell>
          <cell r="O58">
            <v>198.86363636363635</v>
          </cell>
          <cell r="P58">
            <v>0</v>
          </cell>
          <cell r="Q58">
            <v>682.5</v>
          </cell>
          <cell r="R58">
            <v>664.1500227272727</v>
          </cell>
          <cell r="S58">
            <v>875</v>
          </cell>
          <cell r="T58">
            <v>787.5</v>
          </cell>
          <cell r="U58">
            <v>59.85</v>
          </cell>
          <cell r="V58">
            <v>503.12499999999994</v>
          </cell>
          <cell r="W58">
            <v>0</v>
          </cell>
          <cell r="X58">
            <v>0</v>
          </cell>
          <cell r="Y58">
            <v>15493.57865909091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</row>
        <row r="59">
          <cell r="A59" t="str">
            <v>EVOGENE</v>
          </cell>
          <cell r="B59"/>
          <cell r="C59" t="str">
            <v>SOW</v>
          </cell>
          <cell r="D59" t="str">
            <v>Platform</v>
          </cell>
          <cell r="E59" t="str">
            <v>Microbiology lab</v>
          </cell>
          <cell r="F59">
            <v>306941014</v>
          </cell>
          <cell r="G59" t="str">
            <v>Evgenya Gold</v>
          </cell>
          <cell r="H59">
            <v>1</v>
          </cell>
          <cell r="I59">
            <v>15500</v>
          </cell>
          <cell r="J59">
            <v>0</v>
          </cell>
          <cell r="K59">
            <v>15500</v>
          </cell>
          <cell r="L59">
            <v>813</v>
          </cell>
          <cell r="M59">
            <v>270.17</v>
          </cell>
          <cell r="N59">
            <v>252</v>
          </cell>
          <cell r="O59">
            <v>293.56060606060606</v>
          </cell>
          <cell r="P59">
            <v>0</v>
          </cell>
          <cell r="Q59">
            <v>1007.5</v>
          </cell>
          <cell r="R59">
            <v>1054.6957954545455</v>
          </cell>
          <cell r="S59">
            <v>1291.6666666666665</v>
          </cell>
          <cell r="T59">
            <v>1162.5</v>
          </cell>
          <cell r="U59">
            <v>88.350000000000009</v>
          </cell>
          <cell r="V59">
            <v>742.70833333333337</v>
          </cell>
          <cell r="W59">
            <v>0</v>
          </cell>
          <cell r="X59">
            <v>0</v>
          </cell>
          <cell r="Y59">
            <v>22476.151401515152</v>
          </cell>
          <cell r="AA59">
            <v>1</v>
          </cell>
          <cell r="AB59">
            <v>1</v>
          </cell>
          <cell r="AC59">
            <v>1</v>
          </cell>
          <cell r="AD59">
            <v>1</v>
          </cell>
          <cell r="AE59">
            <v>1</v>
          </cell>
          <cell r="AF59">
            <v>1</v>
          </cell>
          <cell r="AG59">
            <v>1</v>
          </cell>
          <cell r="AH59">
            <v>1</v>
          </cell>
          <cell r="AI59">
            <v>1</v>
          </cell>
          <cell r="AJ59">
            <v>1</v>
          </cell>
          <cell r="AK59">
            <v>1</v>
          </cell>
          <cell r="AL59">
            <v>1</v>
          </cell>
          <cell r="AN59">
            <v>6331.3102539479305</v>
          </cell>
          <cell r="AO59">
            <v>6331.3102539479305</v>
          </cell>
          <cell r="AP59">
            <v>6331.3102539479305</v>
          </cell>
          <cell r="AQ59">
            <v>6331.3102539479305</v>
          </cell>
          <cell r="AR59">
            <v>6331.3102539479305</v>
          </cell>
          <cell r="AS59">
            <v>6331.3102539479305</v>
          </cell>
          <cell r="AT59">
            <v>6331.3102539479305</v>
          </cell>
          <cell r="AU59">
            <v>6331.3102539479305</v>
          </cell>
          <cell r="AV59">
            <v>6331.3102539479305</v>
          </cell>
          <cell r="AW59">
            <v>6331.3102539479305</v>
          </cell>
          <cell r="AX59">
            <v>6331.3102539479305</v>
          </cell>
          <cell r="AY59">
            <v>6331.3102539479305</v>
          </cell>
        </row>
        <row r="60">
          <cell r="A60" t="str">
            <v>EVOGENE</v>
          </cell>
          <cell r="B60"/>
          <cell r="C60" t="str">
            <v>SOW</v>
          </cell>
          <cell r="D60" t="str">
            <v>Platform</v>
          </cell>
          <cell r="E60" t="str">
            <v>Molecular Lab</v>
          </cell>
          <cell r="F60">
            <v>321009003</v>
          </cell>
          <cell r="G60" t="str">
            <v>Natalia Goller</v>
          </cell>
          <cell r="H60">
            <v>1</v>
          </cell>
          <cell r="I60">
            <v>8900</v>
          </cell>
          <cell r="J60">
            <v>0</v>
          </cell>
          <cell r="K60">
            <v>8900</v>
          </cell>
          <cell r="L60">
            <v>813</v>
          </cell>
          <cell r="M60">
            <v>379.41</v>
          </cell>
          <cell r="N60">
            <v>220.5</v>
          </cell>
          <cell r="O60">
            <v>168.56060606060606</v>
          </cell>
          <cell r="P60">
            <v>0</v>
          </cell>
          <cell r="Q60">
            <v>578.5</v>
          </cell>
          <cell r="R60">
            <v>556.15129545454545</v>
          </cell>
          <cell r="S60">
            <v>741.66666666666663</v>
          </cell>
          <cell r="T60">
            <v>667.5</v>
          </cell>
          <cell r="U60">
            <v>50.730000000000004</v>
          </cell>
          <cell r="V60">
            <v>426.45833333333331</v>
          </cell>
          <cell r="W60">
            <v>0</v>
          </cell>
          <cell r="X60">
            <v>0</v>
          </cell>
          <cell r="Y60">
            <v>13502.476901515151</v>
          </cell>
          <cell r="AA60">
            <v>1</v>
          </cell>
          <cell r="AB60">
            <v>1</v>
          </cell>
          <cell r="AC60">
            <v>1</v>
          </cell>
          <cell r="AD60">
            <v>1</v>
          </cell>
          <cell r="AE60">
            <v>1</v>
          </cell>
          <cell r="AF60">
            <v>1</v>
          </cell>
          <cell r="AG60">
            <v>1</v>
          </cell>
          <cell r="AH60">
            <v>1</v>
          </cell>
          <cell r="AI60">
            <v>1</v>
          </cell>
          <cell r="AJ60">
            <v>1</v>
          </cell>
          <cell r="AK60">
            <v>1</v>
          </cell>
          <cell r="AL60">
            <v>1</v>
          </cell>
          <cell r="AN60">
            <v>3803.514620145113</v>
          </cell>
          <cell r="AO60">
            <v>3803.514620145113</v>
          </cell>
          <cell r="AP60">
            <v>3803.514620145113</v>
          </cell>
          <cell r="AQ60">
            <v>3803.514620145113</v>
          </cell>
          <cell r="AR60">
            <v>3803.514620145113</v>
          </cell>
          <cell r="AS60">
            <v>3803.514620145113</v>
          </cell>
          <cell r="AT60">
            <v>3803.514620145113</v>
          </cell>
          <cell r="AU60">
            <v>3803.514620145113</v>
          </cell>
          <cell r="AV60">
            <v>3803.514620145113</v>
          </cell>
          <cell r="AW60">
            <v>3803.514620145113</v>
          </cell>
          <cell r="AX60">
            <v>3803.514620145113</v>
          </cell>
          <cell r="AY60">
            <v>3803.514620145113</v>
          </cell>
        </row>
        <row r="61">
          <cell r="A61" t="str">
            <v>BIOMICA</v>
          </cell>
          <cell r="B61">
            <v>89</v>
          </cell>
          <cell r="C61" t="str">
            <v>SOW - Div</v>
          </cell>
          <cell r="D61" t="str">
            <v xml:space="preserve">Biomica </v>
          </cell>
          <cell r="E61" t="str">
            <v>Biomica RD</v>
          </cell>
          <cell r="F61">
            <v>300047842</v>
          </cell>
          <cell r="G61" t="str">
            <v>Mriam Vanono</v>
          </cell>
          <cell r="H61">
            <v>1</v>
          </cell>
          <cell r="I61">
            <v>9000</v>
          </cell>
          <cell r="J61">
            <v>0</v>
          </cell>
          <cell r="K61">
            <v>9000</v>
          </cell>
          <cell r="L61">
            <v>813</v>
          </cell>
          <cell r="M61">
            <v>675.67</v>
          </cell>
          <cell r="N61">
            <v>189</v>
          </cell>
          <cell r="O61">
            <v>170.45454545454544</v>
          </cell>
          <cell r="P61">
            <v>0</v>
          </cell>
          <cell r="Q61">
            <v>585</v>
          </cell>
          <cell r="R61">
            <v>583.65034090909103</v>
          </cell>
          <cell r="S61">
            <v>750</v>
          </cell>
          <cell r="T61">
            <v>675</v>
          </cell>
          <cell r="U61">
            <v>51.300000000000004</v>
          </cell>
          <cell r="V61">
            <v>431.25</v>
          </cell>
          <cell r="W61">
            <v>0</v>
          </cell>
          <cell r="X61">
            <v>0</v>
          </cell>
          <cell r="Y61">
            <v>13924.324886363636</v>
          </cell>
          <cell r="AA61">
            <v>1</v>
          </cell>
          <cell r="AB61">
            <v>1</v>
          </cell>
          <cell r="AC61">
            <v>1</v>
          </cell>
          <cell r="AD61">
            <v>1</v>
          </cell>
          <cell r="AE61">
            <v>1</v>
          </cell>
          <cell r="AF61">
            <v>1</v>
          </cell>
          <cell r="AG61">
            <v>1</v>
          </cell>
          <cell r="AH61">
            <v>1</v>
          </cell>
          <cell r="AI61">
            <v>1</v>
          </cell>
          <cell r="AJ61">
            <v>1</v>
          </cell>
          <cell r="AK61">
            <v>1</v>
          </cell>
          <cell r="AL61">
            <v>1</v>
          </cell>
          <cell r="AN61">
            <v>3922.3450384122921</v>
          </cell>
          <cell r="AO61">
            <v>3922.3450384122921</v>
          </cell>
          <cell r="AP61">
            <v>3922.3450384122921</v>
          </cell>
          <cell r="AQ61">
            <v>3922.3450384122921</v>
          </cell>
          <cell r="AR61">
            <v>3922.3450384122921</v>
          </cell>
          <cell r="AS61">
            <v>3922.3450384122921</v>
          </cell>
          <cell r="AT61">
            <v>3922.3450384122921</v>
          </cell>
          <cell r="AU61">
            <v>3922.3450384122921</v>
          </cell>
          <cell r="AV61">
            <v>3922.3450384122921</v>
          </cell>
          <cell r="AW61">
            <v>3922.3450384122921</v>
          </cell>
          <cell r="AX61">
            <v>3922.3450384122921</v>
          </cell>
          <cell r="AY61">
            <v>3922.3450384122921</v>
          </cell>
        </row>
        <row r="62">
          <cell r="A62" t="str">
            <v>EVOGENE</v>
          </cell>
          <cell r="B62"/>
          <cell r="C62" t="str">
            <v>SOW</v>
          </cell>
          <cell r="D62" t="str">
            <v>Platform</v>
          </cell>
          <cell r="E62" t="str">
            <v>Microbiology lab</v>
          </cell>
          <cell r="F62">
            <v>304243421</v>
          </cell>
          <cell r="G62" t="str">
            <v>Ora Maharat</v>
          </cell>
          <cell r="H62">
            <v>1</v>
          </cell>
          <cell r="I62">
            <v>10000</v>
          </cell>
          <cell r="J62">
            <v>0</v>
          </cell>
          <cell r="K62">
            <v>10000</v>
          </cell>
          <cell r="L62">
            <v>813</v>
          </cell>
          <cell r="M62">
            <v>600</v>
          </cell>
          <cell r="N62">
            <v>189</v>
          </cell>
          <cell r="O62">
            <v>189.39393939393941</v>
          </cell>
          <cell r="P62">
            <v>0</v>
          </cell>
          <cell r="Q62">
            <v>650</v>
          </cell>
          <cell r="R62">
            <v>654.39554545454553</v>
          </cell>
          <cell r="S62">
            <v>833.33333333333326</v>
          </cell>
          <cell r="T62">
            <v>750</v>
          </cell>
          <cell r="U62">
            <v>57</v>
          </cell>
          <cell r="V62">
            <v>479.16666666666669</v>
          </cell>
          <cell r="W62">
            <v>0</v>
          </cell>
          <cell r="X62">
            <v>0</v>
          </cell>
          <cell r="Y62">
            <v>15215.289484848485</v>
          </cell>
          <cell r="AA62">
            <v>1</v>
          </cell>
          <cell r="AB62">
            <v>1</v>
          </cell>
          <cell r="AC62">
            <v>1</v>
          </cell>
          <cell r="AD62">
            <v>1</v>
          </cell>
          <cell r="AE62">
            <v>1</v>
          </cell>
          <cell r="AF62">
            <v>1</v>
          </cell>
          <cell r="AG62">
            <v>1</v>
          </cell>
          <cell r="AH62">
            <v>1</v>
          </cell>
          <cell r="AI62">
            <v>1</v>
          </cell>
          <cell r="AJ62">
            <v>1</v>
          </cell>
          <cell r="AK62">
            <v>1</v>
          </cell>
          <cell r="AL62">
            <v>1</v>
          </cell>
          <cell r="AN62">
            <v>4285.9970379854885</v>
          </cell>
          <cell r="AO62">
            <v>4285.9970379854885</v>
          </cell>
          <cell r="AP62">
            <v>4285.9970379854885</v>
          </cell>
          <cell r="AQ62">
            <v>4285.9970379854885</v>
          </cell>
          <cell r="AR62">
            <v>4285.9970379854885</v>
          </cell>
          <cell r="AS62">
            <v>4285.9970379854885</v>
          </cell>
          <cell r="AT62">
            <v>4285.9970379854885</v>
          </cell>
          <cell r="AU62">
            <v>4285.9970379854885</v>
          </cell>
          <cell r="AV62">
            <v>4285.9970379854885</v>
          </cell>
          <cell r="AW62">
            <v>4285.9970379854885</v>
          </cell>
          <cell r="AX62">
            <v>4285.9970379854885</v>
          </cell>
          <cell r="AY62">
            <v>4285.9970379854885</v>
          </cell>
        </row>
        <row r="63">
          <cell r="A63"/>
          <cell r="B63"/>
          <cell r="D63"/>
          <cell r="I63"/>
          <cell r="J63"/>
          <cell r="K63"/>
          <cell r="L63"/>
          <cell r="M63"/>
          <cell r="N63"/>
          <cell r="O63"/>
          <cell r="P63"/>
          <cell r="Q63">
            <v>0</v>
          </cell>
          <cell r="R63"/>
          <cell r="S63">
            <v>0</v>
          </cell>
          <cell r="T63">
            <v>0</v>
          </cell>
          <cell r="U63">
            <v>0</v>
          </cell>
          <cell r="V63"/>
          <cell r="W63"/>
          <cell r="X63"/>
          <cell r="Y63" t="str">
            <v/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N63" t="str">
            <v/>
          </cell>
          <cell r="AO63" t="str">
            <v/>
          </cell>
          <cell r="AP63" t="str">
            <v/>
          </cell>
          <cell r="AQ63" t="str">
            <v/>
          </cell>
          <cell r="AR63" t="str">
            <v/>
          </cell>
          <cell r="AS63" t="str">
            <v/>
          </cell>
          <cell r="AT63" t="str">
            <v/>
          </cell>
          <cell r="AU63" t="str">
            <v/>
          </cell>
          <cell r="AV63" t="str">
            <v/>
          </cell>
          <cell r="AW63" t="str">
            <v/>
          </cell>
          <cell r="AX63" t="str">
            <v/>
          </cell>
          <cell r="AY63" t="str">
            <v/>
          </cell>
        </row>
        <row r="64">
          <cell r="A64" t="str">
            <v>EVOGENE</v>
          </cell>
          <cell r="B64"/>
          <cell r="C64" t="str">
            <v>SOW</v>
          </cell>
          <cell r="D64" t="str">
            <v>Platform</v>
          </cell>
          <cell r="E64" t="str">
            <v>Algorithm</v>
          </cell>
          <cell r="F64">
            <v>11849932</v>
          </cell>
          <cell r="G64" t="str">
            <v>Roni Rechtman</v>
          </cell>
          <cell r="H64">
            <v>0.8</v>
          </cell>
          <cell r="I64">
            <v>20800</v>
          </cell>
          <cell r="J64">
            <v>0</v>
          </cell>
          <cell r="K64">
            <v>26000</v>
          </cell>
          <cell r="L64">
            <v>813</v>
          </cell>
          <cell r="M64">
            <v>290.57</v>
          </cell>
          <cell r="N64">
            <v>176.4</v>
          </cell>
          <cell r="O64">
            <v>393.93939393939399</v>
          </cell>
          <cell r="P64">
            <v>0</v>
          </cell>
          <cell r="Q64">
            <v>1690</v>
          </cell>
          <cell r="R64">
            <v>1845.5842045454544</v>
          </cell>
          <cell r="S64">
            <v>2166.6666666666665</v>
          </cell>
          <cell r="T64">
            <v>1950</v>
          </cell>
          <cell r="U64">
            <v>148.20000000000002</v>
          </cell>
          <cell r="V64">
            <v>1245.8333333333333</v>
          </cell>
          <cell r="W64">
            <v>0</v>
          </cell>
          <cell r="X64">
            <v>0</v>
          </cell>
          <cell r="Y64">
            <v>36720.193598484846</v>
          </cell>
          <cell r="AA64">
            <v>0.8</v>
          </cell>
          <cell r="AB64">
            <v>0.8</v>
          </cell>
          <cell r="AC64">
            <v>0.8</v>
          </cell>
          <cell r="AD64">
            <v>0.8</v>
          </cell>
          <cell r="AE64">
            <v>0.8</v>
          </cell>
          <cell r="AF64">
            <v>0.8</v>
          </cell>
          <cell r="AG64">
            <v>0.8</v>
          </cell>
          <cell r="AH64">
            <v>0.8</v>
          </cell>
          <cell r="AI64">
            <v>0.8</v>
          </cell>
          <cell r="AJ64">
            <v>0.8</v>
          </cell>
          <cell r="AK64">
            <v>0.8</v>
          </cell>
          <cell r="AL64">
            <v>0.8</v>
          </cell>
          <cell r="AN64">
            <v>8274.9732052923609</v>
          </cell>
          <cell r="AO64">
            <v>8274.9732052923609</v>
          </cell>
          <cell r="AP64">
            <v>8274.9732052923609</v>
          </cell>
          <cell r="AQ64">
            <v>8274.9732052923609</v>
          </cell>
          <cell r="AR64">
            <v>8274.9732052923609</v>
          </cell>
          <cell r="AS64">
            <v>8274.9732052923609</v>
          </cell>
          <cell r="AT64">
            <v>8274.9732052923609</v>
          </cell>
          <cell r="AU64">
            <v>8274.9732052923609</v>
          </cell>
          <cell r="AV64">
            <v>8274.9732052923609</v>
          </cell>
          <cell r="AW64">
            <v>8274.9732052923609</v>
          </cell>
          <cell r="AX64">
            <v>8274.9732052923609</v>
          </cell>
          <cell r="AY64">
            <v>8274.9732052923609</v>
          </cell>
        </row>
        <row r="65">
          <cell r="A65" t="str">
            <v>EVOGENE</v>
          </cell>
          <cell r="B65"/>
          <cell r="C65" t="str">
            <v>SOW</v>
          </cell>
          <cell r="D65" t="str">
            <v>Platform</v>
          </cell>
          <cell r="E65" t="str">
            <v>Bioinformatics</v>
          </cell>
          <cell r="F65">
            <v>11910809</v>
          </cell>
          <cell r="G65" t="str">
            <v>Ilia Zhidkov</v>
          </cell>
          <cell r="H65">
            <v>1</v>
          </cell>
          <cell r="I65">
            <v>24000</v>
          </cell>
          <cell r="J65">
            <v>0</v>
          </cell>
          <cell r="K65">
            <v>24000</v>
          </cell>
          <cell r="L65">
            <v>813</v>
          </cell>
          <cell r="M65">
            <v>416.98</v>
          </cell>
          <cell r="N65">
            <v>220.5</v>
          </cell>
          <cell r="O65">
            <v>454.54545454545456</v>
          </cell>
          <cell r="P65">
            <v>0</v>
          </cell>
          <cell r="Q65">
            <v>1560</v>
          </cell>
          <cell r="R65">
            <v>1712.9179090909092</v>
          </cell>
          <cell r="S65">
            <v>2000</v>
          </cell>
          <cell r="T65">
            <v>1800</v>
          </cell>
          <cell r="U65">
            <v>136.80000000000001</v>
          </cell>
          <cell r="V65">
            <v>1149.9999999999998</v>
          </cell>
          <cell r="W65">
            <v>0</v>
          </cell>
          <cell r="X65">
            <v>0</v>
          </cell>
          <cell r="Y65">
            <v>34264.743363636371</v>
          </cell>
          <cell r="AA65">
            <v>1</v>
          </cell>
          <cell r="AB65">
            <v>1</v>
          </cell>
          <cell r="AC65">
            <v>1</v>
          </cell>
          <cell r="AD65">
            <v>1</v>
          </cell>
          <cell r="AE65">
            <v>1</v>
          </cell>
          <cell r="AF65">
            <v>1</v>
          </cell>
          <cell r="AG65">
            <v>1</v>
          </cell>
          <cell r="AH65">
            <v>1</v>
          </cell>
          <cell r="AI65">
            <v>1</v>
          </cell>
          <cell r="AJ65">
            <v>1</v>
          </cell>
          <cell r="AK65">
            <v>1</v>
          </cell>
          <cell r="AL65">
            <v>1</v>
          </cell>
          <cell r="AN65">
            <v>9652.0403841229218</v>
          </cell>
          <cell r="AO65">
            <v>9652.0403841229218</v>
          </cell>
          <cell r="AP65">
            <v>9652.0403841229218</v>
          </cell>
          <cell r="AQ65">
            <v>9652.0403841229218</v>
          </cell>
          <cell r="AR65">
            <v>9652.0403841229218</v>
          </cell>
          <cell r="AS65">
            <v>9652.0403841229218</v>
          </cell>
          <cell r="AT65">
            <v>9652.0403841229218</v>
          </cell>
          <cell r="AU65">
            <v>9652.0403841229218</v>
          </cell>
          <cell r="AV65">
            <v>9652.0403841229218</v>
          </cell>
          <cell r="AW65">
            <v>9652.0403841229218</v>
          </cell>
          <cell r="AX65">
            <v>9652.0403841229218</v>
          </cell>
          <cell r="AY65">
            <v>9652.0403841229218</v>
          </cell>
        </row>
        <row r="66">
          <cell r="A66" t="str">
            <v>EVOGENE</v>
          </cell>
          <cell r="B66"/>
          <cell r="C66" t="str">
            <v>SOW</v>
          </cell>
          <cell r="D66" t="str">
            <v>Platform</v>
          </cell>
          <cell r="E66" t="str">
            <v>Algorithm</v>
          </cell>
          <cell r="F66">
            <v>15601453</v>
          </cell>
          <cell r="G66" t="str">
            <v>Roberto Olander</v>
          </cell>
          <cell r="H66">
            <v>1</v>
          </cell>
          <cell r="I66">
            <v>26000</v>
          </cell>
          <cell r="J66">
            <v>0</v>
          </cell>
          <cell r="K66">
            <v>26000</v>
          </cell>
          <cell r="L66">
            <v>813</v>
          </cell>
          <cell r="M66">
            <v>283.02</v>
          </cell>
          <cell r="N66">
            <v>157.5</v>
          </cell>
          <cell r="O66">
            <v>492.42424242424244</v>
          </cell>
          <cell r="P66">
            <v>0</v>
          </cell>
          <cell r="Q66">
            <v>1690</v>
          </cell>
          <cell r="R66">
            <v>1850.9868181818183</v>
          </cell>
          <cell r="S66">
            <v>2166.6666666666665</v>
          </cell>
          <cell r="T66">
            <v>1950</v>
          </cell>
          <cell r="U66">
            <v>148.20000000000002</v>
          </cell>
          <cell r="V66">
            <v>1245.8333333333333</v>
          </cell>
          <cell r="W66">
            <v>0</v>
          </cell>
          <cell r="X66">
            <v>0</v>
          </cell>
          <cell r="Y66">
            <v>36797.631060606058</v>
          </cell>
          <cell r="AA66">
            <v>1</v>
          </cell>
          <cell r="AB66">
            <v>1</v>
          </cell>
          <cell r="AC66">
            <v>1</v>
          </cell>
          <cell r="AD66">
            <v>1</v>
          </cell>
          <cell r="AE66">
            <v>1</v>
          </cell>
          <cell r="AF66">
            <v>1</v>
          </cell>
          <cell r="AG66">
            <v>1</v>
          </cell>
          <cell r="AH66">
            <v>1</v>
          </cell>
          <cell r="AI66">
            <v>1</v>
          </cell>
          <cell r="AJ66">
            <v>1</v>
          </cell>
          <cell r="AK66">
            <v>1</v>
          </cell>
          <cell r="AL66">
            <v>1</v>
          </cell>
          <cell r="AN66">
            <v>10365.52987622706</v>
          </cell>
          <cell r="AO66">
            <v>10365.52987622706</v>
          </cell>
          <cell r="AP66">
            <v>10365.52987622706</v>
          </cell>
          <cell r="AQ66">
            <v>10365.52987622706</v>
          </cell>
          <cell r="AR66">
            <v>10365.52987622706</v>
          </cell>
          <cell r="AS66">
            <v>10365.52987622706</v>
          </cell>
          <cell r="AT66">
            <v>10365.52987622706</v>
          </cell>
          <cell r="AU66">
            <v>10365.52987622706</v>
          </cell>
          <cell r="AV66">
            <v>10365.52987622706</v>
          </cell>
          <cell r="AW66">
            <v>10365.52987622706</v>
          </cell>
          <cell r="AX66">
            <v>10365.52987622706</v>
          </cell>
          <cell r="AY66">
            <v>10365.52987622706</v>
          </cell>
        </row>
        <row r="67">
          <cell r="A67" t="str">
            <v>EVOGENE</v>
          </cell>
          <cell r="B67"/>
          <cell r="C67" t="str">
            <v>Non SOW</v>
          </cell>
          <cell r="D67" t="str">
            <v>Corporate</v>
          </cell>
          <cell r="E67" t="str">
            <v>IP - NonSOW</v>
          </cell>
          <cell r="F67">
            <v>23971534</v>
          </cell>
          <cell r="G67" t="str">
            <v>Dotan Dimat</v>
          </cell>
          <cell r="H67">
            <v>1</v>
          </cell>
          <cell r="I67">
            <v>18000</v>
          </cell>
          <cell r="J67">
            <v>0</v>
          </cell>
          <cell r="K67">
            <v>18000</v>
          </cell>
          <cell r="L67">
            <v>813</v>
          </cell>
          <cell r="M67">
            <v>943.4</v>
          </cell>
          <cell r="N67">
            <v>252</v>
          </cell>
          <cell r="O67">
            <v>340.90909090909088</v>
          </cell>
          <cell r="P67">
            <v>0</v>
          </cell>
          <cell r="Q67">
            <v>1170</v>
          </cell>
          <cell r="R67">
            <v>1296.239181818182</v>
          </cell>
          <cell r="S67">
            <v>1500</v>
          </cell>
          <cell r="T67">
            <v>1350</v>
          </cell>
          <cell r="U67">
            <v>102.60000000000001</v>
          </cell>
          <cell r="V67">
            <v>862.5</v>
          </cell>
          <cell r="W67">
            <v>0</v>
          </cell>
          <cell r="X67">
            <v>0</v>
          </cell>
          <cell r="Y67">
            <v>26630.648272727274</v>
          </cell>
          <cell r="AA67">
            <v>0.05</v>
          </cell>
          <cell r="AB67">
            <v>0.05</v>
          </cell>
          <cell r="AC67">
            <v>0.05</v>
          </cell>
          <cell r="AD67">
            <v>0.05</v>
          </cell>
          <cell r="AE67">
            <v>0.05</v>
          </cell>
          <cell r="AF67">
            <v>0.05</v>
          </cell>
          <cell r="AG67">
            <v>0.05</v>
          </cell>
          <cell r="AH67">
            <v>0.05</v>
          </cell>
          <cell r="AI67">
            <v>0.05</v>
          </cell>
          <cell r="AJ67">
            <v>0.05</v>
          </cell>
          <cell r="AK67">
            <v>0.05</v>
          </cell>
          <cell r="AL67">
            <v>0.05</v>
          </cell>
          <cell r="AN67">
            <v>375.07955313700393</v>
          </cell>
          <cell r="AO67">
            <v>375.07955313700393</v>
          </cell>
          <cell r="AP67">
            <v>375.07955313700393</v>
          </cell>
          <cell r="AQ67">
            <v>375.07955313700393</v>
          </cell>
          <cell r="AR67">
            <v>375.07955313700393</v>
          </cell>
          <cell r="AS67">
            <v>375.07955313700393</v>
          </cell>
          <cell r="AT67">
            <v>375.07955313700393</v>
          </cell>
          <cell r="AU67">
            <v>375.07955313700393</v>
          </cell>
          <cell r="AV67">
            <v>375.07955313700393</v>
          </cell>
          <cell r="AW67">
            <v>375.07955313700393</v>
          </cell>
          <cell r="AX67">
            <v>375.07955313700393</v>
          </cell>
          <cell r="AY67">
            <v>375.07955313700393</v>
          </cell>
        </row>
        <row r="68">
          <cell r="A68" t="str">
            <v>EVOGENE</v>
          </cell>
          <cell r="B68"/>
          <cell r="C68" t="str">
            <v>SOW</v>
          </cell>
          <cell r="D68" t="str">
            <v>Platform</v>
          </cell>
          <cell r="E68" t="str">
            <v>Development</v>
          </cell>
          <cell r="F68">
            <v>23971534</v>
          </cell>
          <cell r="G68" t="str">
            <v>Dotan Dimat</v>
          </cell>
          <cell r="H68">
            <v>1</v>
          </cell>
          <cell r="I68">
            <v>18000</v>
          </cell>
          <cell r="J68">
            <v>0</v>
          </cell>
          <cell r="K68">
            <v>18000</v>
          </cell>
          <cell r="L68">
            <v>813</v>
          </cell>
          <cell r="M68">
            <v>943.4</v>
          </cell>
          <cell r="N68">
            <v>252</v>
          </cell>
          <cell r="O68">
            <v>340.90909090909088</v>
          </cell>
          <cell r="P68">
            <v>0</v>
          </cell>
          <cell r="Q68">
            <v>1170</v>
          </cell>
          <cell r="R68">
            <v>1296.239181818182</v>
          </cell>
          <cell r="S68">
            <v>1500</v>
          </cell>
          <cell r="T68">
            <v>1350</v>
          </cell>
          <cell r="U68">
            <v>102.60000000000001</v>
          </cell>
          <cell r="V68">
            <v>862.5</v>
          </cell>
          <cell r="W68">
            <v>0</v>
          </cell>
          <cell r="X68">
            <v>0</v>
          </cell>
          <cell r="Y68">
            <v>26630.648272727274</v>
          </cell>
          <cell r="AA68">
            <v>0.95</v>
          </cell>
          <cell r="AB68">
            <v>0.95</v>
          </cell>
          <cell r="AC68">
            <v>0.95</v>
          </cell>
          <cell r="AD68">
            <v>0.95</v>
          </cell>
          <cell r="AE68">
            <v>0.95</v>
          </cell>
          <cell r="AF68">
            <v>0.95</v>
          </cell>
          <cell r="AG68">
            <v>0.95</v>
          </cell>
          <cell r="AH68">
            <v>0.95</v>
          </cell>
          <cell r="AI68">
            <v>0.95</v>
          </cell>
          <cell r="AJ68">
            <v>0.95</v>
          </cell>
          <cell r="AK68">
            <v>0.95</v>
          </cell>
          <cell r="AL68">
            <v>0.95</v>
          </cell>
          <cell r="AN68">
            <v>7126.511509603074</v>
          </cell>
          <cell r="AO68">
            <v>7126.511509603074</v>
          </cell>
          <cell r="AP68">
            <v>7126.511509603074</v>
          </cell>
          <cell r="AQ68">
            <v>7126.511509603074</v>
          </cell>
          <cell r="AR68">
            <v>7126.511509603074</v>
          </cell>
          <cell r="AS68">
            <v>7126.511509603074</v>
          </cell>
          <cell r="AT68">
            <v>7126.511509603074</v>
          </cell>
          <cell r="AU68">
            <v>7126.511509603074</v>
          </cell>
          <cell r="AV68">
            <v>7126.511509603074</v>
          </cell>
          <cell r="AW68">
            <v>7126.511509603074</v>
          </cell>
          <cell r="AX68">
            <v>7126.511509603074</v>
          </cell>
          <cell r="AY68">
            <v>7126.511509603074</v>
          </cell>
        </row>
        <row r="69">
          <cell r="A69" t="str">
            <v>EVOGENE</v>
          </cell>
          <cell r="B69"/>
          <cell r="C69" t="str">
            <v>SOW</v>
          </cell>
          <cell r="D69" t="str">
            <v>Platform</v>
          </cell>
          <cell r="E69" t="str">
            <v>Algorithm</v>
          </cell>
          <cell r="F69">
            <v>24050700</v>
          </cell>
          <cell r="G69" t="str">
            <v>Eran Eyal</v>
          </cell>
          <cell r="H69">
            <v>1</v>
          </cell>
          <cell r="I69">
            <v>27000</v>
          </cell>
          <cell r="J69">
            <v>0</v>
          </cell>
          <cell r="K69">
            <v>27000</v>
          </cell>
          <cell r="L69">
            <v>813</v>
          </cell>
          <cell r="M69">
            <v>283.02999999999997</v>
          </cell>
          <cell r="N69">
            <v>157.5</v>
          </cell>
          <cell r="O69">
            <v>511.36363636363632</v>
          </cell>
          <cell r="P69">
            <v>0</v>
          </cell>
          <cell r="Q69">
            <v>1755</v>
          </cell>
          <cell r="R69">
            <v>1927.4080227272727</v>
          </cell>
          <cell r="S69">
            <v>2250</v>
          </cell>
          <cell r="T69">
            <v>2025</v>
          </cell>
          <cell r="U69">
            <v>153.9</v>
          </cell>
          <cell r="V69">
            <v>1293.7499999999998</v>
          </cell>
          <cell r="W69">
            <v>0</v>
          </cell>
          <cell r="X69">
            <v>0</v>
          </cell>
          <cell r="Y69">
            <v>38169.951659090912</v>
          </cell>
          <cell r="AA69">
            <v>1</v>
          </cell>
          <cell r="AB69">
            <v>1</v>
          </cell>
          <cell r="AC69">
            <v>1</v>
          </cell>
          <cell r="AD69">
            <v>1</v>
          </cell>
          <cell r="AE69">
            <v>1</v>
          </cell>
          <cell r="AF69">
            <v>1</v>
          </cell>
          <cell r="AG69">
            <v>1</v>
          </cell>
          <cell r="AH69">
            <v>1</v>
          </cell>
          <cell r="AI69">
            <v>1</v>
          </cell>
          <cell r="AJ69">
            <v>1</v>
          </cell>
          <cell r="AK69">
            <v>1</v>
          </cell>
          <cell r="AL69">
            <v>1</v>
          </cell>
          <cell r="AN69">
            <v>10752.09905889885</v>
          </cell>
          <cell r="AO69">
            <v>10752.09905889885</v>
          </cell>
          <cell r="AP69">
            <v>10752.09905889885</v>
          </cell>
          <cell r="AQ69">
            <v>10752.09905889885</v>
          </cell>
          <cell r="AR69">
            <v>10752.09905889885</v>
          </cell>
          <cell r="AS69">
            <v>10752.09905889885</v>
          </cell>
          <cell r="AT69">
            <v>10752.09905889885</v>
          </cell>
          <cell r="AU69">
            <v>10752.09905889885</v>
          </cell>
          <cell r="AV69">
            <v>10752.09905889885</v>
          </cell>
          <cell r="AW69">
            <v>10752.09905889885</v>
          </cell>
          <cell r="AX69">
            <v>10752.09905889885</v>
          </cell>
          <cell r="AY69">
            <v>10752.09905889885</v>
          </cell>
        </row>
        <row r="70">
          <cell r="A70" t="str">
            <v>EVOGENE</v>
          </cell>
          <cell r="B70"/>
          <cell r="C70" t="str">
            <v>SOW</v>
          </cell>
          <cell r="D70" t="str">
            <v>Platform</v>
          </cell>
          <cell r="E70" t="str">
            <v>Algorithm</v>
          </cell>
          <cell r="F70">
            <v>24215949</v>
          </cell>
          <cell r="G70" t="str">
            <v>Idit Buch</v>
          </cell>
          <cell r="H70">
            <v>1</v>
          </cell>
          <cell r="I70">
            <v>26000</v>
          </cell>
          <cell r="J70">
            <v>-2360</v>
          </cell>
          <cell r="K70">
            <v>23640</v>
          </cell>
          <cell r="L70">
            <v>813</v>
          </cell>
          <cell r="M70">
            <v>0</v>
          </cell>
          <cell r="N70">
            <v>189</v>
          </cell>
          <cell r="O70">
            <v>492.42424242424244</v>
          </cell>
          <cell r="P70">
            <v>0</v>
          </cell>
          <cell r="Q70">
            <v>1536.6000000000001</v>
          </cell>
          <cell r="R70">
            <v>1655.1228181818183</v>
          </cell>
          <cell r="S70">
            <v>1970</v>
          </cell>
          <cell r="T70">
            <v>1773</v>
          </cell>
          <cell r="U70">
            <v>134.74800000000002</v>
          </cell>
          <cell r="V70">
            <v>1245.8333333333333</v>
          </cell>
          <cell r="W70">
            <v>2900</v>
          </cell>
          <cell r="X70">
            <v>1800</v>
          </cell>
          <cell r="Y70">
            <v>38149.728393939396</v>
          </cell>
          <cell r="AA70">
            <v>1</v>
          </cell>
          <cell r="AB70">
            <v>1</v>
          </cell>
          <cell r="AC70">
            <v>1</v>
          </cell>
          <cell r="AD70">
            <v>1</v>
          </cell>
          <cell r="AE70">
            <v>1</v>
          </cell>
          <cell r="AF70">
            <v>1</v>
          </cell>
          <cell r="AG70">
            <v>1</v>
          </cell>
          <cell r="AH70">
            <v>1</v>
          </cell>
          <cell r="AI70">
            <v>1</v>
          </cell>
          <cell r="AJ70">
            <v>1</v>
          </cell>
          <cell r="AK70">
            <v>1</v>
          </cell>
          <cell r="AL70">
            <v>1</v>
          </cell>
          <cell r="AN70">
            <v>10746.402364489972</v>
          </cell>
          <cell r="AO70">
            <v>10746.402364489972</v>
          </cell>
          <cell r="AP70">
            <v>10746.402364489972</v>
          </cell>
          <cell r="AQ70">
            <v>10746.402364489972</v>
          </cell>
          <cell r="AR70">
            <v>10746.402364489972</v>
          </cell>
          <cell r="AS70">
            <v>10746.402364489972</v>
          </cell>
          <cell r="AT70">
            <v>10746.402364489972</v>
          </cell>
          <cell r="AU70">
            <v>10746.402364489972</v>
          </cell>
          <cell r="AV70">
            <v>10746.402364489972</v>
          </cell>
          <cell r="AW70">
            <v>10746.402364489972</v>
          </cell>
          <cell r="AX70">
            <v>10746.402364489972</v>
          </cell>
          <cell r="AY70">
            <v>10746.402364489972</v>
          </cell>
        </row>
        <row r="71">
          <cell r="A71" t="str">
            <v>EVOGENE</v>
          </cell>
          <cell r="B71"/>
          <cell r="C71" t="str">
            <v>SOW</v>
          </cell>
          <cell r="D71" t="str">
            <v>Platform</v>
          </cell>
          <cell r="E71" t="str">
            <v>Algorithm</v>
          </cell>
          <cell r="F71">
            <v>25687450</v>
          </cell>
          <cell r="G71" t="str">
            <v>Einat Sitbon</v>
          </cell>
          <cell r="H71">
            <v>1</v>
          </cell>
          <cell r="I71">
            <v>22000</v>
          </cell>
          <cell r="J71">
            <v>0</v>
          </cell>
          <cell r="K71">
            <v>22000</v>
          </cell>
          <cell r="L71">
            <v>813</v>
          </cell>
          <cell r="M71">
            <v>486.79</v>
          </cell>
          <cell r="N71">
            <v>189</v>
          </cell>
          <cell r="O71">
            <v>416.66666666666669</v>
          </cell>
          <cell r="P71">
            <v>0</v>
          </cell>
          <cell r="Q71">
            <v>1430</v>
          </cell>
          <cell r="R71">
            <v>1562.9502500000001</v>
          </cell>
          <cell r="S71">
            <v>1833.3333333333333</v>
          </cell>
          <cell r="T71">
            <v>1650</v>
          </cell>
          <cell r="U71">
            <v>125.4</v>
          </cell>
          <cell r="V71">
            <v>1054.1666666666665</v>
          </cell>
          <cell r="W71">
            <v>0</v>
          </cell>
          <cell r="X71">
            <v>0</v>
          </cell>
          <cell r="Y71">
            <v>31561.306916666672</v>
          </cell>
          <cell r="AA71">
            <v>1</v>
          </cell>
          <cell r="AB71">
            <v>1</v>
          </cell>
          <cell r="AC71">
            <v>1</v>
          </cell>
          <cell r="AD71">
            <v>1</v>
          </cell>
          <cell r="AE71">
            <v>1</v>
          </cell>
          <cell r="AF71">
            <v>1</v>
          </cell>
          <cell r="AG71">
            <v>1</v>
          </cell>
          <cell r="AH71">
            <v>1</v>
          </cell>
          <cell r="AI71">
            <v>1</v>
          </cell>
          <cell r="AJ71">
            <v>1</v>
          </cell>
          <cell r="AK71">
            <v>1</v>
          </cell>
          <cell r="AL71">
            <v>1</v>
          </cell>
          <cell r="AN71">
            <v>8890.5089906103312</v>
          </cell>
          <cell r="AO71">
            <v>8890.5089906103312</v>
          </cell>
          <cell r="AP71">
            <v>8890.5089906103312</v>
          </cell>
          <cell r="AQ71">
            <v>8890.5089906103312</v>
          </cell>
          <cell r="AR71">
            <v>8890.5089906103312</v>
          </cell>
          <cell r="AS71">
            <v>8890.5089906103312</v>
          </cell>
          <cell r="AT71">
            <v>8890.5089906103312</v>
          </cell>
          <cell r="AU71">
            <v>8890.5089906103312</v>
          </cell>
          <cell r="AV71">
            <v>8890.5089906103312</v>
          </cell>
          <cell r="AW71">
            <v>8890.5089906103312</v>
          </cell>
          <cell r="AX71">
            <v>8890.5089906103312</v>
          </cell>
          <cell r="AY71">
            <v>8890.5089906103312</v>
          </cell>
        </row>
        <row r="72">
          <cell r="A72" t="str">
            <v>EVOGENE</v>
          </cell>
          <cell r="B72"/>
          <cell r="C72" t="str">
            <v>SOW</v>
          </cell>
          <cell r="D72" t="str">
            <v>Platform</v>
          </cell>
          <cell r="E72" t="str">
            <v>Algorithm</v>
          </cell>
          <cell r="F72">
            <v>32706681</v>
          </cell>
          <cell r="G72" t="str">
            <v>Matan Avraham</v>
          </cell>
          <cell r="H72">
            <v>1</v>
          </cell>
          <cell r="I72">
            <v>24000</v>
          </cell>
          <cell r="J72">
            <v>-1960</v>
          </cell>
          <cell r="K72">
            <v>22040</v>
          </cell>
          <cell r="L72">
            <v>813</v>
          </cell>
          <cell r="M72">
            <v>0</v>
          </cell>
          <cell r="N72">
            <v>189</v>
          </cell>
          <cell r="O72">
            <v>454.54545454545456</v>
          </cell>
          <cell r="P72">
            <v>0</v>
          </cell>
          <cell r="Q72">
            <v>1432.6000000000001</v>
          </cell>
          <cell r="R72">
            <v>1532.2819090909093</v>
          </cell>
          <cell r="S72">
            <v>1836.6666666666665</v>
          </cell>
          <cell r="T72">
            <v>1653</v>
          </cell>
          <cell r="U72">
            <v>125.628</v>
          </cell>
          <cell r="V72">
            <v>1149.9999999999998</v>
          </cell>
          <cell r="W72">
            <v>2350</v>
          </cell>
          <cell r="X72">
            <v>1350</v>
          </cell>
          <cell r="Y72">
            <v>34926.722030303034</v>
          </cell>
          <cell r="AA72">
            <v>1</v>
          </cell>
          <cell r="AB72">
            <v>1</v>
          </cell>
          <cell r="AC72">
            <v>1</v>
          </cell>
          <cell r="AD72">
            <v>1</v>
          </cell>
          <cell r="AE72">
            <v>1</v>
          </cell>
          <cell r="AF72">
            <v>1</v>
          </cell>
          <cell r="AG72">
            <v>1</v>
          </cell>
          <cell r="AH72">
            <v>1</v>
          </cell>
          <cell r="AI72">
            <v>1</v>
          </cell>
          <cell r="AJ72">
            <v>1</v>
          </cell>
          <cell r="AK72">
            <v>1</v>
          </cell>
          <cell r="AL72">
            <v>1</v>
          </cell>
          <cell r="AN72">
            <v>9838.5132479726853</v>
          </cell>
          <cell r="AO72">
            <v>9838.5132479726853</v>
          </cell>
          <cell r="AP72">
            <v>9838.5132479726853</v>
          </cell>
          <cell r="AQ72">
            <v>9838.5132479726853</v>
          </cell>
          <cell r="AR72">
            <v>9838.5132479726853</v>
          </cell>
          <cell r="AS72">
            <v>9838.5132479726853</v>
          </cell>
          <cell r="AT72">
            <v>9838.5132479726853</v>
          </cell>
          <cell r="AU72">
            <v>9838.5132479726853</v>
          </cell>
          <cell r="AV72">
            <v>9838.5132479726853</v>
          </cell>
          <cell r="AW72">
            <v>9838.5132479726853</v>
          </cell>
          <cell r="AX72">
            <v>9838.5132479726853</v>
          </cell>
          <cell r="AY72">
            <v>9838.5132479726853</v>
          </cell>
        </row>
        <row r="73">
          <cell r="A73" t="str">
            <v>EVOGENE</v>
          </cell>
          <cell r="B73"/>
          <cell r="C73" t="str">
            <v>SOW</v>
          </cell>
          <cell r="D73" t="str">
            <v>Platform</v>
          </cell>
          <cell r="E73" t="str">
            <v>Development</v>
          </cell>
          <cell r="F73">
            <v>38949970</v>
          </cell>
          <cell r="G73" t="str">
            <v>Dudu Zaltman</v>
          </cell>
          <cell r="H73">
            <v>1</v>
          </cell>
          <cell r="I73">
            <v>17000</v>
          </cell>
          <cell r="J73">
            <v>0</v>
          </cell>
          <cell r="K73">
            <v>17000</v>
          </cell>
          <cell r="L73">
            <v>813</v>
          </cell>
          <cell r="M73">
            <v>368.42</v>
          </cell>
          <cell r="N73">
            <v>157.5</v>
          </cell>
          <cell r="O73">
            <v>321.969696969697</v>
          </cell>
          <cell r="P73">
            <v>0</v>
          </cell>
          <cell r="Q73">
            <v>1105</v>
          </cell>
          <cell r="R73">
            <v>1169.6077272727271</v>
          </cell>
          <cell r="S73">
            <v>1416.6666666666665</v>
          </cell>
          <cell r="T73">
            <v>1275</v>
          </cell>
          <cell r="U73">
            <v>96.9</v>
          </cell>
          <cell r="V73">
            <v>814.58333333333337</v>
          </cell>
          <cell r="W73">
            <v>0</v>
          </cell>
          <cell r="X73">
            <v>0</v>
          </cell>
          <cell r="Y73">
            <v>24538.647424242423</v>
          </cell>
          <cell r="AA73">
            <v>1</v>
          </cell>
          <cell r="AB73">
            <v>1</v>
          </cell>
          <cell r="AC73">
            <v>1</v>
          </cell>
          <cell r="AD73">
            <v>1</v>
          </cell>
          <cell r="AE73">
            <v>1</v>
          </cell>
          <cell r="AF73">
            <v>1</v>
          </cell>
          <cell r="AG73">
            <v>1</v>
          </cell>
          <cell r="AH73">
            <v>1</v>
          </cell>
          <cell r="AI73">
            <v>1</v>
          </cell>
          <cell r="AJ73">
            <v>1</v>
          </cell>
          <cell r="AK73">
            <v>1</v>
          </cell>
          <cell r="AL73">
            <v>1</v>
          </cell>
          <cell r="AN73">
            <v>6912.2950490823732</v>
          </cell>
          <cell r="AO73">
            <v>6912.2950490823732</v>
          </cell>
          <cell r="AP73">
            <v>6912.2950490823732</v>
          </cell>
          <cell r="AQ73">
            <v>6912.2950490823732</v>
          </cell>
          <cell r="AR73">
            <v>6912.2950490823732</v>
          </cell>
          <cell r="AS73">
            <v>6912.2950490823732</v>
          </cell>
          <cell r="AT73">
            <v>6912.2950490823732</v>
          </cell>
          <cell r="AU73">
            <v>6912.2950490823732</v>
          </cell>
          <cell r="AV73">
            <v>6912.2950490823732</v>
          </cell>
          <cell r="AW73">
            <v>6912.2950490823732</v>
          </cell>
          <cell r="AX73">
            <v>6912.2950490823732</v>
          </cell>
          <cell r="AY73">
            <v>6912.2950490823732</v>
          </cell>
        </row>
        <row r="74">
          <cell r="A74" t="str">
            <v>EVOGENE</v>
          </cell>
          <cell r="B74"/>
          <cell r="C74" t="str">
            <v>SOW</v>
          </cell>
          <cell r="D74" t="str">
            <v>Platform</v>
          </cell>
          <cell r="E74" t="str">
            <v>Development</v>
          </cell>
          <cell r="F74">
            <v>39450614</v>
          </cell>
          <cell r="G74" t="str">
            <v>Tal Nagar</v>
          </cell>
          <cell r="H74">
            <v>1</v>
          </cell>
          <cell r="I74">
            <v>20500</v>
          </cell>
          <cell r="J74">
            <v>0</v>
          </cell>
          <cell r="K74">
            <v>20500</v>
          </cell>
          <cell r="L74">
            <v>813</v>
          </cell>
          <cell r="M74">
            <v>943.37</v>
          </cell>
          <cell r="N74">
            <v>189</v>
          </cell>
          <cell r="O74">
            <v>388.25757575757575</v>
          </cell>
          <cell r="P74">
            <v>0</v>
          </cell>
          <cell r="Q74">
            <v>1332.5</v>
          </cell>
          <cell r="R74">
            <v>1482.5630681818182</v>
          </cell>
          <cell r="S74">
            <v>1708.3333333333333</v>
          </cell>
          <cell r="T74">
            <v>1537.5</v>
          </cell>
          <cell r="U74">
            <v>116.85000000000001</v>
          </cell>
          <cell r="V74">
            <v>982.29166666666652</v>
          </cell>
          <cell r="W74">
            <v>0</v>
          </cell>
          <cell r="X74">
            <v>0</v>
          </cell>
          <cell r="Y74">
            <v>29993.665643939392</v>
          </cell>
          <cell r="AA74">
            <v>0.2</v>
          </cell>
          <cell r="AB74">
            <v>0.2</v>
          </cell>
          <cell r="AC74">
            <v>0.2</v>
          </cell>
          <cell r="AD74">
            <v>0.2</v>
          </cell>
          <cell r="AE74">
            <v>0.2</v>
          </cell>
          <cell r="AF74">
            <v>0.2</v>
          </cell>
          <cell r="AG74">
            <v>0.2</v>
          </cell>
          <cell r="AH74">
            <v>0.2</v>
          </cell>
          <cell r="AI74">
            <v>0.2</v>
          </cell>
          <cell r="AJ74">
            <v>0.2</v>
          </cell>
          <cell r="AK74">
            <v>0.2</v>
          </cell>
          <cell r="AL74">
            <v>0.2</v>
          </cell>
          <cell r="AN74">
            <v>1689.7839799402477</v>
          </cell>
          <cell r="AO74">
            <v>1689.7839799402477</v>
          </cell>
          <cell r="AP74">
            <v>1689.7839799402477</v>
          </cell>
          <cell r="AQ74">
            <v>1689.7839799402477</v>
          </cell>
          <cell r="AR74">
            <v>1689.7839799402477</v>
          </cell>
          <cell r="AS74">
            <v>1689.7839799402477</v>
          </cell>
          <cell r="AT74">
            <v>1689.7839799402477</v>
          </cell>
          <cell r="AU74">
            <v>1689.7839799402477</v>
          </cell>
          <cell r="AV74">
            <v>1689.7839799402477</v>
          </cell>
          <cell r="AW74">
            <v>1689.7839799402477</v>
          </cell>
          <cell r="AX74">
            <v>1689.7839799402477</v>
          </cell>
          <cell r="AY74">
            <v>1689.7839799402477</v>
          </cell>
        </row>
        <row r="75">
          <cell r="A75" t="str">
            <v>EVOGENE</v>
          </cell>
          <cell r="B75"/>
          <cell r="C75" t="str">
            <v>SOW</v>
          </cell>
          <cell r="D75" t="str">
            <v>Platform</v>
          </cell>
          <cell r="E75" t="str">
            <v>IMS</v>
          </cell>
          <cell r="F75">
            <v>39450614</v>
          </cell>
          <cell r="G75" t="str">
            <v>Tal Nagar</v>
          </cell>
          <cell r="H75">
            <v>1</v>
          </cell>
          <cell r="I75">
            <v>20500</v>
          </cell>
          <cell r="J75">
            <v>0</v>
          </cell>
          <cell r="K75">
            <v>20500</v>
          </cell>
          <cell r="L75">
            <v>813</v>
          </cell>
          <cell r="M75">
            <v>943.37</v>
          </cell>
          <cell r="N75">
            <v>189</v>
          </cell>
          <cell r="O75">
            <v>388.25757575757575</v>
          </cell>
          <cell r="P75">
            <v>0</v>
          </cell>
          <cell r="Q75">
            <v>1332.5</v>
          </cell>
          <cell r="R75">
            <v>1482.5630681818182</v>
          </cell>
          <cell r="S75">
            <v>1708.3333333333333</v>
          </cell>
          <cell r="T75">
            <v>1537.5</v>
          </cell>
          <cell r="U75">
            <v>116.85000000000001</v>
          </cell>
          <cell r="V75">
            <v>982.29166666666652</v>
          </cell>
          <cell r="W75">
            <v>0</v>
          </cell>
          <cell r="X75">
            <v>0</v>
          </cell>
          <cell r="Y75">
            <v>29993.665643939392</v>
          </cell>
          <cell r="AA75">
            <v>0.8</v>
          </cell>
          <cell r="AB75">
            <v>0.8</v>
          </cell>
          <cell r="AC75">
            <v>0.8</v>
          </cell>
          <cell r="AD75">
            <v>0.8</v>
          </cell>
          <cell r="AE75">
            <v>0.8</v>
          </cell>
          <cell r="AF75">
            <v>0.8</v>
          </cell>
          <cell r="AG75">
            <v>0.8</v>
          </cell>
          <cell r="AH75">
            <v>0.8</v>
          </cell>
          <cell r="AI75">
            <v>0.8</v>
          </cell>
          <cell r="AJ75">
            <v>0.8</v>
          </cell>
          <cell r="AK75">
            <v>0.8</v>
          </cell>
          <cell r="AL75">
            <v>0.8</v>
          </cell>
          <cell r="AN75">
            <v>6759.1359197609909</v>
          </cell>
          <cell r="AO75">
            <v>6759.1359197609909</v>
          </cell>
          <cell r="AP75">
            <v>6759.1359197609909</v>
          </cell>
          <cell r="AQ75">
            <v>6759.1359197609909</v>
          </cell>
          <cell r="AR75">
            <v>6759.1359197609909</v>
          </cell>
          <cell r="AS75">
            <v>6759.1359197609909</v>
          </cell>
          <cell r="AT75">
            <v>6759.1359197609909</v>
          </cell>
          <cell r="AU75">
            <v>6759.1359197609909</v>
          </cell>
          <cell r="AV75">
            <v>6759.1359197609909</v>
          </cell>
          <cell r="AW75">
            <v>6759.1359197609909</v>
          </cell>
          <cell r="AX75">
            <v>6759.1359197609909</v>
          </cell>
          <cell r="AY75">
            <v>6759.1359197609909</v>
          </cell>
        </row>
        <row r="76">
          <cell r="A76" t="str">
            <v>EVOGENE</v>
          </cell>
          <cell r="B76"/>
          <cell r="C76" t="str">
            <v>SOW</v>
          </cell>
          <cell r="D76" t="str">
            <v>Platform</v>
          </cell>
          <cell r="E76" t="str">
            <v>Development</v>
          </cell>
          <cell r="F76">
            <v>39508270</v>
          </cell>
          <cell r="G76" t="str">
            <v>Noga Horowitz</v>
          </cell>
          <cell r="H76">
            <v>1</v>
          </cell>
          <cell r="I76">
            <v>25000</v>
          </cell>
          <cell r="J76">
            <v>0</v>
          </cell>
          <cell r="K76">
            <v>25000</v>
          </cell>
          <cell r="L76">
            <v>813</v>
          </cell>
          <cell r="M76">
            <v>290.56</v>
          </cell>
          <cell r="N76">
            <v>220.5</v>
          </cell>
          <cell r="O76">
            <v>473.48484848484844</v>
          </cell>
          <cell r="P76">
            <v>0</v>
          </cell>
          <cell r="Q76">
            <v>1625</v>
          </cell>
          <cell r="R76">
            <v>1779.8568636363636</v>
          </cell>
          <cell r="S76">
            <v>2083.333333333333</v>
          </cell>
          <cell r="T76">
            <v>1875</v>
          </cell>
          <cell r="U76">
            <v>142.5</v>
          </cell>
          <cell r="V76">
            <v>1197.9166666666665</v>
          </cell>
          <cell r="W76">
            <v>0</v>
          </cell>
          <cell r="X76">
            <v>0</v>
          </cell>
          <cell r="Y76">
            <v>35501.151712121209</v>
          </cell>
          <cell r="AA76">
            <v>1</v>
          </cell>
          <cell r="AB76">
            <v>1</v>
          </cell>
          <cell r="AC76">
            <v>1</v>
          </cell>
          <cell r="AD76">
            <v>1</v>
          </cell>
          <cell r="AE76">
            <v>1</v>
          </cell>
          <cell r="AF76">
            <v>1</v>
          </cell>
          <cell r="AG76">
            <v>1</v>
          </cell>
          <cell r="AH76">
            <v>1</v>
          </cell>
          <cell r="AI76">
            <v>1</v>
          </cell>
          <cell r="AJ76">
            <v>1</v>
          </cell>
          <cell r="AK76">
            <v>1</v>
          </cell>
          <cell r="AL76">
            <v>1</v>
          </cell>
          <cell r="AN76">
            <v>10000.324425949637</v>
          </cell>
          <cell r="AO76">
            <v>10000.324425949637</v>
          </cell>
          <cell r="AP76">
            <v>10000.324425949637</v>
          </cell>
          <cell r="AQ76">
            <v>10000.324425949637</v>
          </cell>
          <cell r="AR76">
            <v>10000.324425949637</v>
          </cell>
          <cell r="AS76">
            <v>10000.324425949637</v>
          </cell>
          <cell r="AT76">
            <v>10000.324425949637</v>
          </cell>
          <cell r="AU76">
            <v>10000.324425949637</v>
          </cell>
          <cell r="AV76">
            <v>10000.324425949637</v>
          </cell>
          <cell r="AW76">
            <v>10000.324425949637</v>
          </cell>
          <cell r="AX76">
            <v>10000.324425949637</v>
          </cell>
          <cell r="AY76">
            <v>10000.324425949637</v>
          </cell>
        </row>
        <row r="77">
          <cell r="A77" t="str">
            <v>EVOGENE</v>
          </cell>
          <cell r="B77"/>
          <cell r="C77" t="str">
            <v>SOW</v>
          </cell>
          <cell r="D77" t="str">
            <v>Platform</v>
          </cell>
          <cell r="E77" t="str">
            <v>Bioinformatics</v>
          </cell>
          <cell r="F77">
            <v>306859190</v>
          </cell>
          <cell r="G77" t="str">
            <v>Larisa Rabinovich</v>
          </cell>
          <cell r="H77">
            <v>0.8</v>
          </cell>
          <cell r="I77">
            <v>13600</v>
          </cell>
          <cell r="J77">
            <v>0</v>
          </cell>
          <cell r="K77">
            <v>17000</v>
          </cell>
          <cell r="L77">
            <v>813</v>
          </cell>
          <cell r="M77">
            <v>452.62</v>
          </cell>
          <cell r="N77">
            <v>252</v>
          </cell>
          <cell r="O77">
            <v>257.57575757575756</v>
          </cell>
          <cell r="P77">
            <v>0</v>
          </cell>
          <cell r="Q77">
            <v>1105</v>
          </cell>
          <cell r="R77">
            <v>1178.1806818181817</v>
          </cell>
          <cell r="S77">
            <v>1416.6666666666665</v>
          </cell>
          <cell r="T77">
            <v>1275</v>
          </cell>
          <cell r="U77">
            <v>96.9</v>
          </cell>
          <cell r="V77">
            <v>814.58333333333337</v>
          </cell>
          <cell r="W77">
            <v>0</v>
          </cell>
          <cell r="X77">
            <v>0</v>
          </cell>
          <cell r="Y77">
            <v>24661.52643939394</v>
          </cell>
          <cell r="AA77">
            <v>0.8</v>
          </cell>
          <cell r="AB77">
            <v>0.8</v>
          </cell>
          <cell r="AC77">
            <v>0.8</v>
          </cell>
          <cell r="AD77">
            <v>0.8</v>
          </cell>
          <cell r="AE77">
            <v>0.8</v>
          </cell>
          <cell r="AF77">
            <v>0.8</v>
          </cell>
          <cell r="AG77">
            <v>0.8</v>
          </cell>
          <cell r="AH77">
            <v>0.8</v>
          </cell>
          <cell r="AI77">
            <v>0.8</v>
          </cell>
          <cell r="AJ77">
            <v>0.8</v>
          </cell>
          <cell r="AK77">
            <v>0.8</v>
          </cell>
          <cell r="AL77">
            <v>0.8</v>
          </cell>
          <cell r="AN77">
            <v>5557.5270849338467</v>
          </cell>
          <cell r="AO77">
            <v>5557.5270849338467</v>
          </cell>
          <cell r="AP77">
            <v>5557.5270849338467</v>
          </cell>
          <cell r="AQ77">
            <v>5557.5270849338467</v>
          </cell>
          <cell r="AR77">
            <v>5557.5270849338467</v>
          </cell>
          <cell r="AS77">
            <v>5557.5270849338467</v>
          </cell>
          <cell r="AT77">
            <v>5557.5270849338467</v>
          </cell>
          <cell r="AU77">
            <v>5557.5270849338467</v>
          </cell>
          <cell r="AV77">
            <v>5557.5270849338467</v>
          </cell>
          <cell r="AW77">
            <v>5557.5270849338467</v>
          </cell>
          <cell r="AX77">
            <v>5557.5270849338467</v>
          </cell>
          <cell r="AY77">
            <v>5557.5270849338467</v>
          </cell>
        </row>
        <row r="78">
          <cell r="A78" t="str">
            <v>EVOGENE</v>
          </cell>
          <cell r="B78"/>
          <cell r="C78" t="str">
            <v>SOW</v>
          </cell>
          <cell r="D78" t="str">
            <v>Platform</v>
          </cell>
          <cell r="E78" t="str">
            <v>CQA</v>
          </cell>
          <cell r="F78">
            <v>306984006</v>
          </cell>
          <cell r="G78" t="str">
            <v>Lily Wainer</v>
          </cell>
          <cell r="H78">
            <v>1</v>
          </cell>
          <cell r="I78">
            <v>9000</v>
          </cell>
          <cell r="J78">
            <v>0</v>
          </cell>
          <cell r="K78">
            <v>9000</v>
          </cell>
          <cell r="L78">
            <v>813</v>
          </cell>
          <cell r="M78">
            <v>226.46</v>
          </cell>
          <cell r="N78">
            <v>220.5</v>
          </cell>
          <cell r="O78">
            <v>170.45454545454544</v>
          </cell>
          <cell r="P78">
            <v>0</v>
          </cell>
          <cell r="Q78">
            <v>585</v>
          </cell>
          <cell r="R78">
            <v>552.32209090909089</v>
          </cell>
          <cell r="S78">
            <v>750</v>
          </cell>
          <cell r="T78">
            <v>675</v>
          </cell>
          <cell r="U78">
            <v>51.300000000000004</v>
          </cell>
          <cell r="V78">
            <v>431.25</v>
          </cell>
          <cell r="W78">
            <v>0</v>
          </cell>
          <cell r="X78">
            <v>0</v>
          </cell>
          <cell r="Y78">
            <v>13475.286636363635</v>
          </cell>
          <cell r="AA78">
            <v>1</v>
          </cell>
          <cell r="AB78">
            <v>1</v>
          </cell>
          <cell r="AC78">
            <v>1</v>
          </cell>
          <cell r="AD78">
            <v>1</v>
          </cell>
          <cell r="AE78">
            <v>1</v>
          </cell>
          <cell r="AF78">
            <v>1</v>
          </cell>
          <cell r="AG78">
            <v>1</v>
          </cell>
          <cell r="AH78">
            <v>1</v>
          </cell>
          <cell r="AI78">
            <v>1</v>
          </cell>
          <cell r="AJ78">
            <v>1</v>
          </cell>
          <cell r="AK78">
            <v>1</v>
          </cell>
          <cell r="AL78">
            <v>1</v>
          </cell>
          <cell r="AN78">
            <v>3795.8553905249678</v>
          </cell>
          <cell r="AO78">
            <v>3795.8553905249678</v>
          </cell>
          <cell r="AP78">
            <v>3795.8553905249678</v>
          </cell>
          <cell r="AQ78">
            <v>3795.8553905249678</v>
          </cell>
          <cell r="AR78">
            <v>3795.8553905249678</v>
          </cell>
          <cell r="AS78">
            <v>3795.8553905249678</v>
          </cell>
          <cell r="AT78">
            <v>3795.8553905249678</v>
          </cell>
          <cell r="AU78">
            <v>3795.8553905249678</v>
          </cell>
          <cell r="AV78">
            <v>3795.8553905249678</v>
          </cell>
          <cell r="AW78">
            <v>3795.8553905249678</v>
          </cell>
          <cell r="AX78">
            <v>3795.8553905249678</v>
          </cell>
          <cell r="AY78">
            <v>3795.8553905249678</v>
          </cell>
        </row>
        <row r="79">
          <cell r="A79" t="str">
            <v>EVOGENE</v>
          </cell>
          <cell r="B79"/>
          <cell r="C79" t="str">
            <v>SOW</v>
          </cell>
          <cell r="D79" t="str">
            <v>Platform</v>
          </cell>
          <cell r="E79" t="str">
            <v>Bioinformatics</v>
          </cell>
          <cell r="F79">
            <v>307116624</v>
          </cell>
          <cell r="G79" t="str">
            <v>Mark Katzenellenbogen</v>
          </cell>
          <cell r="H79">
            <v>1</v>
          </cell>
          <cell r="I79">
            <v>20000</v>
          </cell>
          <cell r="J79">
            <v>-2130</v>
          </cell>
          <cell r="K79">
            <v>17870</v>
          </cell>
          <cell r="L79">
            <v>813</v>
          </cell>
          <cell r="M79">
            <v>0</v>
          </cell>
          <cell r="N79">
            <v>220.5</v>
          </cell>
          <cell r="O79">
            <v>378.78787878787881</v>
          </cell>
          <cell r="P79">
            <v>0</v>
          </cell>
          <cell r="Q79">
            <v>1161.55</v>
          </cell>
          <cell r="R79">
            <v>1216.212590909091</v>
          </cell>
          <cell r="S79">
            <v>1489.1666666666665</v>
          </cell>
          <cell r="T79">
            <v>1340.25</v>
          </cell>
          <cell r="U79">
            <v>101.85900000000001</v>
          </cell>
          <cell r="V79">
            <v>958.33333333333337</v>
          </cell>
          <cell r="W79">
            <v>2560</v>
          </cell>
          <cell r="X79">
            <v>1500</v>
          </cell>
          <cell r="Y79">
            <v>29609.65946969697</v>
          </cell>
          <cell r="AA79">
            <v>1</v>
          </cell>
          <cell r="AB79">
            <v>1</v>
          </cell>
          <cell r="AC79">
            <v>1</v>
          </cell>
          <cell r="AD79">
            <v>1</v>
          </cell>
          <cell r="AE79">
            <v>1</v>
          </cell>
          <cell r="AF79">
            <v>1</v>
          </cell>
          <cell r="AG79">
            <v>1</v>
          </cell>
          <cell r="AH79">
            <v>1</v>
          </cell>
          <cell r="AI79">
            <v>1</v>
          </cell>
          <cell r="AJ79">
            <v>1</v>
          </cell>
          <cell r="AK79">
            <v>1</v>
          </cell>
          <cell r="AL79">
            <v>1</v>
          </cell>
          <cell r="AN79">
            <v>8340.749146393513</v>
          </cell>
          <cell r="AO79">
            <v>8340.749146393513</v>
          </cell>
          <cell r="AP79">
            <v>8340.749146393513</v>
          </cell>
          <cell r="AQ79">
            <v>8340.749146393513</v>
          </cell>
          <cell r="AR79">
            <v>8340.749146393513</v>
          </cell>
          <cell r="AS79">
            <v>8340.749146393513</v>
          </cell>
          <cell r="AT79">
            <v>8340.749146393513</v>
          </cell>
          <cell r="AU79">
            <v>8340.749146393513</v>
          </cell>
          <cell r="AV79">
            <v>8340.749146393513</v>
          </cell>
          <cell r="AW79">
            <v>8340.749146393513</v>
          </cell>
          <cell r="AX79">
            <v>8340.749146393513</v>
          </cell>
          <cell r="AY79">
            <v>8340.749146393513</v>
          </cell>
        </row>
        <row r="80">
          <cell r="A80" t="str">
            <v>EVOGENE</v>
          </cell>
          <cell r="B80"/>
          <cell r="C80" t="str">
            <v>SOW</v>
          </cell>
          <cell r="D80" t="str">
            <v>Platform</v>
          </cell>
          <cell r="E80" t="str">
            <v>Development</v>
          </cell>
          <cell r="F80">
            <v>300482544</v>
          </cell>
          <cell r="G80" t="str">
            <v>Moran Tal</v>
          </cell>
          <cell r="H80">
            <v>1</v>
          </cell>
          <cell r="I80">
            <v>17000</v>
          </cell>
          <cell r="J80">
            <v>0</v>
          </cell>
          <cell r="K80">
            <v>17000</v>
          </cell>
          <cell r="L80">
            <v>813</v>
          </cell>
          <cell r="M80">
            <v>900</v>
          </cell>
          <cell r="N80">
            <v>220.5</v>
          </cell>
          <cell r="O80">
            <v>321.969696969697</v>
          </cell>
          <cell r="P80"/>
          <cell r="Q80">
            <v>1105</v>
          </cell>
          <cell r="R80">
            <v>1214.2012272727272</v>
          </cell>
          <cell r="S80">
            <v>1416.6666666666665</v>
          </cell>
          <cell r="T80">
            <v>1275</v>
          </cell>
          <cell r="U80">
            <v>96.9</v>
          </cell>
          <cell r="V80">
            <v>814.58333333333337</v>
          </cell>
          <cell r="W80"/>
          <cell r="X80"/>
          <cell r="Y80">
            <v>25177.820924242424</v>
          </cell>
          <cell r="AA80">
            <v>0.8</v>
          </cell>
          <cell r="AB80">
            <v>0.8</v>
          </cell>
          <cell r="AC80">
            <v>0.8</v>
          </cell>
          <cell r="AD80">
            <v>0.8</v>
          </cell>
          <cell r="AE80">
            <v>0.8</v>
          </cell>
          <cell r="AF80">
            <v>0.8</v>
          </cell>
          <cell r="AG80">
            <v>0.8</v>
          </cell>
          <cell r="AH80">
            <v>0.8</v>
          </cell>
          <cell r="AI80">
            <v>0.8</v>
          </cell>
          <cell r="AJ80">
            <v>0.8</v>
          </cell>
          <cell r="AK80">
            <v>0.8</v>
          </cell>
          <cell r="AL80">
            <v>0.8</v>
          </cell>
          <cell r="AN80">
            <v>5673.875137857448</v>
          </cell>
          <cell r="AO80">
            <v>5673.875137857448</v>
          </cell>
          <cell r="AP80">
            <v>5673.875137857448</v>
          </cell>
          <cell r="AQ80">
            <v>5673.875137857448</v>
          </cell>
          <cell r="AR80">
            <v>5673.875137857448</v>
          </cell>
          <cell r="AS80">
            <v>5673.875137857448</v>
          </cell>
          <cell r="AT80">
            <v>5673.875137857448</v>
          </cell>
          <cell r="AU80">
            <v>5673.875137857448</v>
          </cell>
          <cell r="AV80">
            <v>5673.875137857448</v>
          </cell>
          <cell r="AW80">
            <v>5673.875137857448</v>
          </cell>
          <cell r="AX80">
            <v>5673.875137857448</v>
          </cell>
          <cell r="AY80">
            <v>5673.875137857448</v>
          </cell>
        </row>
        <row r="81">
          <cell r="A81" t="str">
            <v>EVOGENE</v>
          </cell>
          <cell r="B81"/>
          <cell r="C81" t="str">
            <v>SOW</v>
          </cell>
          <cell r="D81" t="str">
            <v>Platform</v>
          </cell>
          <cell r="E81" t="str">
            <v>IMS</v>
          </cell>
          <cell r="F81">
            <v>300482544</v>
          </cell>
          <cell r="G81" t="str">
            <v>Moran Tal</v>
          </cell>
          <cell r="H81">
            <v>1</v>
          </cell>
          <cell r="I81">
            <v>17000</v>
          </cell>
          <cell r="J81">
            <v>0</v>
          </cell>
          <cell r="K81">
            <v>17000</v>
          </cell>
          <cell r="L81">
            <v>813</v>
          </cell>
          <cell r="M81">
            <v>900</v>
          </cell>
          <cell r="N81">
            <v>220.5</v>
          </cell>
          <cell r="O81">
            <v>321.969696969697</v>
          </cell>
          <cell r="P81"/>
          <cell r="Q81">
            <v>1105</v>
          </cell>
          <cell r="R81">
            <v>1214.2012272727272</v>
          </cell>
          <cell r="S81">
            <v>1416.6666666666665</v>
          </cell>
          <cell r="T81">
            <v>1275</v>
          </cell>
          <cell r="U81">
            <v>96.9</v>
          </cell>
          <cell r="V81">
            <v>814.58333333333337</v>
          </cell>
          <cell r="W81"/>
          <cell r="X81"/>
          <cell r="Y81">
            <v>25177.820924242424</v>
          </cell>
          <cell r="AA81">
            <v>0.2</v>
          </cell>
          <cell r="AB81">
            <v>0.2</v>
          </cell>
          <cell r="AC81">
            <v>0.2</v>
          </cell>
          <cell r="AD81">
            <v>0.2</v>
          </cell>
          <cell r="AE81">
            <v>0.2</v>
          </cell>
          <cell r="AF81">
            <v>0.2</v>
          </cell>
          <cell r="AG81">
            <v>0.2</v>
          </cell>
          <cell r="AH81">
            <v>0.2</v>
          </cell>
          <cell r="AI81">
            <v>0.2</v>
          </cell>
          <cell r="AJ81">
            <v>0.2</v>
          </cell>
          <cell r="AK81">
            <v>0.2</v>
          </cell>
          <cell r="AL81">
            <v>0.2</v>
          </cell>
          <cell r="AN81">
            <v>1418.468784464362</v>
          </cell>
          <cell r="AO81">
            <v>1418.468784464362</v>
          </cell>
          <cell r="AP81">
            <v>1418.468784464362</v>
          </cell>
          <cell r="AQ81">
            <v>1418.468784464362</v>
          </cell>
          <cell r="AR81">
            <v>1418.468784464362</v>
          </cell>
          <cell r="AS81">
            <v>1418.468784464362</v>
          </cell>
          <cell r="AT81">
            <v>1418.468784464362</v>
          </cell>
          <cell r="AU81">
            <v>1418.468784464362</v>
          </cell>
          <cell r="AV81">
            <v>1418.468784464362</v>
          </cell>
          <cell r="AW81">
            <v>1418.468784464362</v>
          </cell>
          <cell r="AX81">
            <v>1418.468784464362</v>
          </cell>
          <cell r="AY81">
            <v>1418.468784464362</v>
          </cell>
        </row>
        <row r="82">
          <cell r="A82" t="str">
            <v>EVOGENE</v>
          </cell>
          <cell r="B82"/>
          <cell r="C82" t="str">
            <v>SOW</v>
          </cell>
          <cell r="D82" t="str">
            <v>Platform</v>
          </cell>
          <cell r="E82" t="str">
            <v>Algorithm</v>
          </cell>
          <cell r="F82">
            <v>35938679</v>
          </cell>
          <cell r="G82" t="str">
            <v>Renana Meller</v>
          </cell>
          <cell r="H82">
            <v>0.9</v>
          </cell>
          <cell r="I82">
            <v>18000</v>
          </cell>
          <cell r="J82">
            <v>0</v>
          </cell>
          <cell r="K82">
            <v>20000</v>
          </cell>
          <cell r="L82">
            <v>813</v>
          </cell>
          <cell r="M82">
            <v>900</v>
          </cell>
          <cell r="N82">
            <v>220.5</v>
          </cell>
          <cell r="O82">
            <v>340.90909090909088</v>
          </cell>
          <cell r="P82"/>
          <cell r="Q82">
            <v>1300</v>
          </cell>
          <cell r="R82">
            <v>1440.621681818182</v>
          </cell>
          <cell r="S82">
            <v>1666.6666666666665</v>
          </cell>
          <cell r="T82">
            <v>1500</v>
          </cell>
          <cell r="U82">
            <v>114</v>
          </cell>
          <cell r="V82">
            <v>958.33333333333337</v>
          </cell>
          <cell r="W82"/>
          <cell r="X82"/>
          <cell r="Y82">
            <v>29254.030772727274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0.9</v>
          </cell>
          <cell r="AH82">
            <v>0.9</v>
          </cell>
          <cell r="AI82">
            <v>0.9</v>
          </cell>
          <cell r="AJ82">
            <v>0.3</v>
          </cell>
          <cell r="AK82">
            <v>0</v>
          </cell>
          <cell r="AL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7416.5148437900134</v>
          </cell>
          <cell r="AU82">
            <v>7416.5148437900134</v>
          </cell>
          <cell r="AV82">
            <v>7416.5148437900134</v>
          </cell>
          <cell r="AW82">
            <v>2472.1716145966711</v>
          </cell>
          <cell r="AX82">
            <v>0</v>
          </cell>
          <cell r="AY82">
            <v>0</v>
          </cell>
        </row>
        <row r="83">
          <cell r="A83" t="str">
            <v>EVOGENE</v>
          </cell>
          <cell r="B83">
            <v>7</v>
          </cell>
          <cell r="C83" t="str">
            <v>SOW</v>
          </cell>
          <cell r="D83" t="str">
            <v>Platform</v>
          </cell>
          <cell r="E83" t="str">
            <v>Bioinformatics</v>
          </cell>
          <cell r="F83">
            <v>307541169</v>
          </cell>
          <cell r="G83" t="str">
            <v>Alexandra Slonimsky</v>
          </cell>
          <cell r="H83">
            <v>1</v>
          </cell>
          <cell r="I83">
            <v>10850</v>
          </cell>
          <cell r="J83">
            <v>0</v>
          </cell>
          <cell r="K83">
            <v>10850</v>
          </cell>
          <cell r="L83">
            <v>813</v>
          </cell>
          <cell r="M83">
            <v>568.17999999999995</v>
          </cell>
          <cell r="N83">
            <v>189</v>
          </cell>
          <cell r="O83">
            <v>205.49242424242425</v>
          </cell>
          <cell r="P83">
            <v>0</v>
          </cell>
          <cell r="Q83">
            <v>705.25</v>
          </cell>
          <cell r="R83">
            <v>716.96643181818172</v>
          </cell>
          <cell r="S83">
            <v>904.16666666666663</v>
          </cell>
          <cell r="T83">
            <v>813.75</v>
          </cell>
          <cell r="U83">
            <v>61.844999999999999</v>
          </cell>
          <cell r="V83">
            <v>519.89583333333326</v>
          </cell>
          <cell r="W83">
            <v>0</v>
          </cell>
          <cell r="X83">
            <v>0</v>
          </cell>
          <cell r="Y83">
            <v>16347.546356060606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</row>
        <row r="84">
          <cell r="A84" t="str">
            <v>EVOGENE</v>
          </cell>
          <cell r="B84">
            <v>8</v>
          </cell>
          <cell r="C84" t="str">
            <v>SOW</v>
          </cell>
          <cell r="D84" t="str">
            <v>Platform</v>
          </cell>
          <cell r="E84" t="str">
            <v>Bioinformatics</v>
          </cell>
          <cell r="F84">
            <v>33311648</v>
          </cell>
          <cell r="G84" t="str">
            <v>Michal Sharabi</v>
          </cell>
          <cell r="H84">
            <v>1</v>
          </cell>
          <cell r="I84">
            <v>18000</v>
          </cell>
          <cell r="J84"/>
          <cell r="K84">
            <v>18000</v>
          </cell>
          <cell r="L84">
            <v>813</v>
          </cell>
          <cell r="M84">
            <v>568.17999999999995</v>
          </cell>
          <cell r="N84">
            <v>189</v>
          </cell>
          <cell r="O84">
            <v>340.90909090909088</v>
          </cell>
          <cell r="P84"/>
          <cell r="Q84">
            <v>1170</v>
          </cell>
          <cell r="R84">
            <v>1263.3726818181819</v>
          </cell>
          <cell r="S84">
            <v>1500</v>
          </cell>
          <cell r="T84">
            <v>1350</v>
          </cell>
          <cell r="U84">
            <v>102.60000000000001</v>
          </cell>
          <cell r="V84">
            <v>862.5</v>
          </cell>
          <cell r="W84"/>
          <cell r="X84"/>
          <cell r="Y84">
            <v>26159.561772727273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1</v>
          </cell>
          <cell r="AK84">
            <v>1</v>
          </cell>
          <cell r="AL84">
            <v>1</v>
          </cell>
          <cell r="AN84">
            <v>7368.890640204866</v>
          </cell>
          <cell r="AO84">
            <v>7368.890640204866</v>
          </cell>
          <cell r="AP84">
            <v>7368.890640204866</v>
          </cell>
          <cell r="AQ84">
            <v>7368.890640204866</v>
          </cell>
          <cell r="AR84">
            <v>7368.890640204866</v>
          </cell>
          <cell r="AS84">
            <v>7368.890640204866</v>
          </cell>
          <cell r="AT84">
            <v>7368.890640204866</v>
          </cell>
          <cell r="AU84">
            <v>7368.890640204866</v>
          </cell>
          <cell r="AV84">
            <v>7368.890640204866</v>
          </cell>
          <cell r="AW84">
            <v>7368.890640204866</v>
          </cell>
          <cell r="AX84">
            <v>7368.890640204866</v>
          </cell>
          <cell r="AY84">
            <v>7368.890640204866</v>
          </cell>
        </row>
        <row r="85">
          <cell r="A85"/>
          <cell r="B85"/>
          <cell r="D85"/>
          <cell r="I85"/>
          <cell r="J85"/>
          <cell r="K85"/>
          <cell r="L85"/>
          <cell r="M85"/>
          <cell r="N85"/>
          <cell r="O85"/>
          <cell r="P85"/>
          <cell r="Q85">
            <v>0</v>
          </cell>
          <cell r="R85"/>
          <cell r="S85">
            <v>0</v>
          </cell>
          <cell r="T85">
            <v>0</v>
          </cell>
          <cell r="U85">
            <v>0</v>
          </cell>
          <cell r="V85"/>
          <cell r="W85"/>
          <cell r="X85"/>
          <cell r="Y85" t="str">
            <v/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N85" t="str">
            <v/>
          </cell>
          <cell r="AO85" t="str">
            <v/>
          </cell>
          <cell r="AP85" t="str">
            <v/>
          </cell>
          <cell r="AQ85" t="str">
            <v/>
          </cell>
          <cell r="AR85" t="str">
            <v/>
          </cell>
          <cell r="AS85" t="str">
            <v/>
          </cell>
          <cell r="AT85" t="str">
            <v/>
          </cell>
          <cell r="AU85" t="str">
            <v/>
          </cell>
          <cell r="AV85" t="str">
            <v/>
          </cell>
          <cell r="AW85" t="str">
            <v/>
          </cell>
          <cell r="AX85" t="str">
            <v/>
          </cell>
          <cell r="AY85" t="str">
            <v/>
          </cell>
        </row>
        <row r="86">
          <cell r="A86" t="str">
            <v>EVOGENE</v>
          </cell>
          <cell r="B86"/>
          <cell r="C86" t="str">
            <v>SOW - Div</v>
          </cell>
          <cell r="D86" t="str">
            <v>EvoYon</v>
          </cell>
          <cell r="E86" t="str">
            <v>EvoYon</v>
          </cell>
          <cell r="F86">
            <v>23547565</v>
          </cell>
          <cell r="G86" t="str">
            <v>Ori Inbar</v>
          </cell>
          <cell r="H86">
            <v>1</v>
          </cell>
          <cell r="I86">
            <v>20000</v>
          </cell>
          <cell r="J86">
            <v>0</v>
          </cell>
          <cell r="K86">
            <v>20000</v>
          </cell>
          <cell r="L86">
            <v>813</v>
          </cell>
          <cell r="M86">
            <v>943.39</v>
          </cell>
          <cell r="N86">
            <v>189</v>
          </cell>
          <cell r="O86">
            <v>378.78787878787881</v>
          </cell>
          <cell r="P86">
            <v>0</v>
          </cell>
          <cell r="Q86">
            <v>1300</v>
          </cell>
          <cell r="R86">
            <v>1444.354340909091</v>
          </cell>
          <cell r="S86">
            <v>1666.6666666666665</v>
          </cell>
          <cell r="T86">
            <v>1500</v>
          </cell>
          <cell r="U86">
            <v>114</v>
          </cell>
          <cell r="V86">
            <v>958.33333333333337</v>
          </cell>
          <cell r="W86">
            <v>0</v>
          </cell>
          <cell r="X86">
            <v>0</v>
          </cell>
          <cell r="Y86">
            <v>29307.532219696972</v>
          </cell>
          <cell r="AA86">
            <v>1</v>
          </cell>
          <cell r="AB86">
            <v>1</v>
          </cell>
          <cell r="AC86">
            <v>1</v>
          </cell>
          <cell r="AD86">
            <v>1</v>
          </cell>
          <cell r="AE86">
            <v>1</v>
          </cell>
          <cell r="AF86">
            <v>1</v>
          </cell>
          <cell r="AG86">
            <v>1</v>
          </cell>
          <cell r="AH86">
            <v>1</v>
          </cell>
          <cell r="AI86">
            <v>1</v>
          </cell>
          <cell r="AJ86">
            <v>1</v>
          </cell>
          <cell r="AK86">
            <v>1</v>
          </cell>
          <cell r="AL86">
            <v>1</v>
          </cell>
          <cell r="AN86">
            <v>8255.6428787878795</v>
          </cell>
          <cell r="AO86">
            <v>8255.6428787878795</v>
          </cell>
          <cell r="AP86">
            <v>8255.6428787878795</v>
          </cell>
          <cell r="AQ86">
            <v>8255.6428787878795</v>
          </cell>
          <cell r="AR86">
            <v>8255.6428787878795</v>
          </cell>
          <cell r="AS86">
            <v>8255.6428787878795</v>
          </cell>
          <cell r="AT86">
            <v>8255.6428787878795</v>
          </cell>
          <cell r="AU86">
            <v>8255.6428787878795</v>
          </cell>
          <cell r="AV86">
            <v>8255.6428787878795</v>
          </cell>
          <cell r="AW86">
            <v>8255.6428787878795</v>
          </cell>
          <cell r="AX86">
            <v>8255.6428787878795</v>
          </cell>
          <cell r="AY86">
            <v>8255.6428787878795</v>
          </cell>
        </row>
        <row r="87">
          <cell r="A87" t="str">
            <v>EVOGENE</v>
          </cell>
          <cell r="B87"/>
          <cell r="C87" t="str">
            <v>SOW</v>
          </cell>
          <cell r="D87" t="str">
            <v>Platform</v>
          </cell>
          <cell r="E87" t="str">
            <v>Platform Directors</v>
          </cell>
          <cell r="F87">
            <v>28991768</v>
          </cell>
          <cell r="G87" t="str">
            <v>Chanan Rubin</v>
          </cell>
          <cell r="H87">
            <v>1</v>
          </cell>
          <cell r="I87">
            <v>32500</v>
          </cell>
          <cell r="J87">
            <v>0</v>
          </cell>
          <cell r="K87">
            <v>32500</v>
          </cell>
          <cell r="L87">
            <v>813</v>
          </cell>
          <cell r="M87">
            <v>283.01</v>
          </cell>
          <cell r="N87">
            <v>220.5</v>
          </cell>
          <cell r="O87">
            <v>615.530303030303</v>
          </cell>
          <cell r="P87">
            <v>0</v>
          </cell>
          <cell r="Q87">
            <v>2112.5</v>
          </cell>
          <cell r="R87">
            <v>2352.444022727273</v>
          </cell>
          <cell r="S87">
            <v>2708.333333333333</v>
          </cell>
          <cell r="T87">
            <v>2437.5</v>
          </cell>
          <cell r="U87">
            <v>185.25</v>
          </cell>
          <cell r="V87">
            <v>1557.2916666666667</v>
          </cell>
          <cell r="W87">
            <v>0</v>
          </cell>
          <cell r="X87">
            <v>0</v>
          </cell>
          <cell r="Y87">
            <v>45785.359325757578</v>
          </cell>
          <cell r="AA87">
            <v>1</v>
          </cell>
          <cell r="AB87">
            <v>1</v>
          </cell>
          <cell r="AC87">
            <v>1</v>
          </cell>
          <cell r="AD87">
            <v>1</v>
          </cell>
          <cell r="AE87">
            <v>1</v>
          </cell>
          <cell r="AF87">
            <v>1</v>
          </cell>
          <cell r="AG87">
            <v>1</v>
          </cell>
          <cell r="AH87">
            <v>1</v>
          </cell>
          <cell r="AI87">
            <v>1</v>
          </cell>
          <cell r="AJ87">
            <v>1</v>
          </cell>
          <cell r="AK87">
            <v>1</v>
          </cell>
          <cell r="AL87">
            <v>1</v>
          </cell>
          <cell r="AN87">
            <v>12897.284317114811</v>
          </cell>
          <cell r="AO87">
            <v>12897.284317114811</v>
          </cell>
          <cell r="AP87">
            <v>12897.284317114811</v>
          </cell>
          <cell r="AQ87">
            <v>12897.284317114811</v>
          </cell>
          <cell r="AR87">
            <v>12897.284317114811</v>
          </cell>
          <cell r="AS87">
            <v>12897.284317114811</v>
          </cell>
          <cell r="AT87">
            <v>12897.284317114811</v>
          </cell>
          <cell r="AU87">
            <v>12897.284317114811</v>
          </cell>
          <cell r="AV87">
            <v>12897.284317114811</v>
          </cell>
          <cell r="AW87">
            <v>12897.284317114811</v>
          </cell>
          <cell r="AX87">
            <v>12897.284317114811</v>
          </cell>
          <cell r="AY87">
            <v>12897.284317114811</v>
          </cell>
        </row>
        <row r="88">
          <cell r="A88" t="str">
            <v>EVOGENE</v>
          </cell>
          <cell r="B88"/>
          <cell r="C88" t="str">
            <v>SOW</v>
          </cell>
          <cell r="D88" t="str">
            <v>Platform</v>
          </cell>
          <cell r="E88" t="str">
            <v>Core Technologies</v>
          </cell>
          <cell r="F88">
            <v>32880510</v>
          </cell>
          <cell r="G88" t="str">
            <v>Inbal Culang</v>
          </cell>
          <cell r="H88">
            <v>1</v>
          </cell>
          <cell r="I88">
            <v>20000</v>
          </cell>
          <cell r="J88">
            <v>0</v>
          </cell>
          <cell r="K88">
            <v>20000</v>
          </cell>
          <cell r="L88">
            <v>813</v>
          </cell>
          <cell r="M88">
            <v>943</v>
          </cell>
          <cell r="N88">
            <v>157.5</v>
          </cell>
          <cell r="O88">
            <v>378.78787878787881</v>
          </cell>
          <cell r="P88">
            <v>0</v>
          </cell>
          <cell r="Q88">
            <v>1300</v>
          </cell>
          <cell r="R88">
            <v>1441.962590909091</v>
          </cell>
          <cell r="S88">
            <v>1666.6666666666665</v>
          </cell>
          <cell r="T88">
            <v>1500</v>
          </cell>
          <cell r="U88">
            <v>114</v>
          </cell>
          <cell r="V88">
            <v>958.33333333333337</v>
          </cell>
          <cell r="W88">
            <v>0</v>
          </cell>
          <cell r="X88">
            <v>0</v>
          </cell>
          <cell r="Y88">
            <v>29273.25046969697</v>
          </cell>
          <cell r="AA88">
            <v>1</v>
          </cell>
          <cell r="AB88">
            <v>1</v>
          </cell>
          <cell r="AC88">
            <v>1</v>
          </cell>
          <cell r="AD88">
            <v>1</v>
          </cell>
          <cell r="AE88">
            <v>1</v>
          </cell>
          <cell r="AF88">
            <v>1</v>
          </cell>
          <cell r="AG88">
            <v>1</v>
          </cell>
          <cell r="AH88">
            <v>1</v>
          </cell>
          <cell r="AI88">
            <v>1</v>
          </cell>
          <cell r="AJ88">
            <v>1</v>
          </cell>
          <cell r="AK88">
            <v>1</v>
          </cell>
          <cell r="AL88">
            <v>1</v>
          </cell>
          <cell r="AN88">
            <v>8245.9860478019637</v>
          </cell>
          <cell r="AO88">
            <v>8245.9860478019637</v>
          </cell>
          <cell r="AP88">
            <v>8245.9860478019637</v>
          </cell>
          <cell r="AQ88">
            <v>8245.9860478019637</v>
          </cell>
          <cell r="AR88">
            <v>8245.9860478019637</v>
          </cell>
          <cell r="AS88">
            <v>8245.9860478019637</v>
          </cell>
          <cell r="AT88">
            <v>8245.9860478019637</v>
          </cell>
          <cell r="AU88">
            <v>8245.9860478019637</v>
          </cell>
          <cell r="AV88">
            <v>8245.9860478019637</v>
          </cell>
          <cell r="AW88">
            <v>8245.9860478019637</v>
          </cell>
          <cell r="AX88">
            <v>8245.9860478019637</v>
          </cell>
          <cell r="AY88">
            <v>8245.9860478019637</v>
          </cell>
        </row>
        <row r="89">
          <cell r="A89" t="str">
            <v>EVOGENE</v>
          </cell>
          <cell r="B89"/>
          <cell r="C89" t="str">
            <v>SOW</v>
          </cell>
          <cell r="D89" t="str">
            <v>Platform</v>
          </cell>
          <cell r="E89" t="str">
            <v>Core Technologies</v>
          </cell>
          <cell r="F89">
            <v>34264069</v>
          </cell>
          <cell r="G89" t="str">
            <v>Gali Golan</v>
          </cell>
          <cell r="H89">
            <v>1</v>
          </cell>
          <cell r="I89">
            <v>23000</v>
          </cell>
          <cell r="J89">
            <v>0</v>
          </cell>
          <cell r="K89">
            <v>23000</v>
          </cell>
          <cell r="L89">
            <v>813</v>
          </cell>
          <cell r="M89">
            <v>2780</v>
          </cell>
          <cell r="N89">
            <v>157.5</v>
          </cell>
          <cell r="O89">
            <v>435.60606060606068</v>
          </cell>
          <cell r="P89">
            <v>0</v>
          </cell>
          <cell r="Q89">
            <v>1495</v>
          </cell>
          <cell r="R89">
            <v>1808.9989545454546</v>
          </cell>
          <cell r="S89">
            <v>1916.6666666666665</v>
          </cell>
          <cell r="T89">
            <v>1725</v>
          </cell>
          <cell r="U89">
            <v>131.1</v>
          </cell>
          <cell r="V89">
            <v>1102.0833333333333</v>
          </cell>
          <cell r="W89">
            <v>0</v>
          </cell>
          <cell r="X89">
            <v>0</v>
          </cell>
          <cell r="Y89">
            <v>35364.955015151514</v>
          </cell>
          <cell r="AA89">
            <v>1</v>
          </cell>
          <cell r="AB89">
            <v>1</v>
          </cell>
          <cell r="AC89">
            <v>1</v>
          </cell>
          <cell r="AD89">
            <v>1</v>
          </cell>
          <cell r="AE89">
            <v>1</v>
          </cell>
          <cell r="AF89">
            <v>1</v>
          </cell>
          <cell r="AG89">
            <v>1</v>
          </cell>
          <cell r="AH89">
            <v>1</v>
          </cell>
          <cell r="AI89">
            <v>1</v>
          </cell>
          <cell r="AJ89">
            <v>1</v>
          </cell>
          <cell r="AK89">
            <v>1</v>
          </cell>
          <cell r="AL89">
            <v>1</v>
          </cell>
          <cell r="AN89">
            <v>9961.9591591976096</v>
          </cell>
          <cell r="AO89">
            <v>9961.9591591976096</v>
          </cell>
          <cell r="AP89">
            <v>9961.9591591976096</v>
          </cell>
          <cell r="AQ89">
            <v>9961.9591591976096</v>
          </cell>
          <cell r="AR89">
            <v>9961.9591591976096</v>
          </cell>
          <cell r="AS89">
            <v>9961.9591591976096</v>
          </cell>
          <cell r="AT89">
            <v>9961.9591591976096</v>
          </cell>
          <cell r="AU89">
            <v>9961.9591591976096</v>
          </cell>
          <cell r="AV89">
            <v>9961.9591591976096</v>
          </cell>
          <cell r="AW89">
            <v>9961.9591591976096</v>
          </cell>
          <cell r="AX89">
            <v>9961.9591591976096</v>
          </cell>
          <cell r="AY89">
            <v>9961.9591591976096</v>
          </cell>
        </row>
        <row r="90">
          <cell r="A90" t="str">
            <v>EVOGENE</v>
          </cell>
          <cell r="B90"/>
          <cell r="C90" t="str">
            <v>SOW - Div</v>
          </cell>
          <cell r="D90" t="str">
            <v>EvoYon</v>
          </cell>
          <cell r="E90" t="str">
            <v>EvoYon</v>
          </cell>
          <cell r="F90">
            <v>36214278</v>
          </cell>
          <cell r="G90" t="str">
            <v>Ben Gradus</v>
          </cell>
          <cell r="H90">
            <v>1</v>
          </cell>
          <cell r="I90">
            <v>18500</v>
          </cell>
          <cell r="J90">
            <v>0</v>
          </cell>
          <cell r="K90">
            <v>18500</v>
          </cell>
          <cell r="L90">
            <v>813</v>
          </cell>
          <cell r="M90">
            <v>283.02</v>
          </cell>
          <cell r="N90">
            <v>220.5</v>
          </cell>
          <cell r="O90">
            <v>350.37878787878782</v>
          </cell>
          <cell r="P90">
            <v>0</v>
          </cell>
          <cell r="Q90">
            <v>1202.5</v>
          </cell>
          <cell r="R90">
            <v>1282.5584090909092</v>
          </cell>
          <cell r="S90">
            <v>1541.6666666666665</v>
          </cell>
          <cell r="T90">
            <v>1387.5</v>
          </cell>
          <cell r="U90">
            <v>105.45</v>
          </cell>
          <cell r="V90">
            <v>886.45833333333337</v>
          </cell>
          <cell r="W90">
            <v>0</v>
          </cell>
          <cell r="X90">
            <v>0</v>
          </cell>
          <cell r="Y90">
            <v>26573.0321969697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</row>
        <row r="91">
          <cell r="A91" t="str">
            <v>EVOGENE</v>
          </cell>
          <cell r="B91"/>
          <cell r="C91" t="str">
            <v>SOW</v>
          </cell>
          <cell r="D91" t="str">
            <v>Platform</v>
          </cell>
          <cell r="E91" t="str">
            <v>Core Technologies</v>
          </cell>
          <cell r="F91">
            <v>40807315</v>
          </cell>
          <cell r="G91" t="str">
            <v>Assaf Peer</v>
          </cell>
          <cell r="H91">
            <v>1</v>
          </cell>
          <cell r="I91">
            <v>20000</v>
          </cell>
          <cell r="J91">
            <v>-2090</v>
          </cell>
          <cell r="K91">
            <v>17910</v>
          </cell>
          <cell r="L91">
            <v>813</v>
          </cell>
          <cell r="M91">
            <v>0</v>
          </cell>
          <cell r="N91">
            <v>157.5</v>
          </cell>
          <cell r="O91">
            <v>378.78787878787881</v>
          </cell>
          <cell r="P91">
            <v>0</v>
          </cell>
          <cell r="Q91">
            <v>1164.1500000000001</v>
          </cell>
          <cell r="R91">
            <v>1214.4875909090911</v>
          </cell>
          <cell r="S91">
            <v>1492.5</v>
          </cell>
          <cell r="T91">
            <v>1343.25</v>
          </cell>
          <cell r="U91">
            <v>102.087</v>
          </cell>
          <cell r="V91">
            <v>958.33333333333337</v>
          </cell>
          <cell r="W91">
            <v>2520</v>
          </cell>
          <cell r="X91">
            <v>1800</v>
          </cell>
          <cell r="Y91">
            <v>29854.095803030305</v>
          </cell>
          <cell r="AA91">
            <v>0</v>
          </cell>
          <cell r="AB91">
            <v>0</v>
          </cell>
          <cell r="AC91">
            <v>1</v>
          </cell>
          <cell r="AD91">
            <v>1</v>
          </cell>
          <cell r="AE91">
            <v>1</v>
          </cell>
          <cell r="AF91">
            <v>1</v>
          </cell>
          <cell r="AG91">
            <v>1</v>
          </cell>
          <cell r="AH91">
            <v>1</v>
          </cell>
          <cell r="AI91">
            <v>1</v>
          </cell>
          <cell r="AJ91">
            <v>1</v>
          </cell>
          <cell r="AK91">
            <v>1</v>
          </cell>
          <cell r="AL91">
            <v>1</v>
          </cell>
          <cell r="AN91">
            <v>0</v>
          </cell>
          <cell r="AO91">
            <v>0</v>
          </cell>
          <cell r="AP91">
            <v>8409.6044515578324</v>
          </cell>
          <cell r="AQ91">
            <v>8409.6044515578324</v>
          </cell>
          <cell r="AR91">
            <v>8409.6044515578324</v>
          </cell>
          <cell r="AS91">
            <v>8409.6044515578324</v>
          </cell>
          <cell r="AT91">
            <v>8409.6044515578324</v>
          </cell>
          <cell r="AU91">
            <v>8409.6044515578324</v>
          </cell>
          <cell r="AV91">
            <v>8409.6044515578324</v>
          </cell>
          <cell r="AW91">
            <v>8409.6044515578324</v>
          </cell>
          <cell r="AX91">
            <v>8409.6044515578324</v>
          </cell>
          <cell r="AY91">
            <v>8409.6044515578324</v>
          </cell>
        </row>
        <row r="92">
          <cell r="A92"/>
          <cell r="B92"/>
          <cell r="D92"/>
          <cell r="I92"/>
          <cell r="J92"/>
          <cell r="K92"/>
          <cell r="L92"/>
          <cell r="M92"/>
          <cell r="N92"/>
          <cell r="O92"/>
          <cell r="P92"/>
          <cell r="Q92">
            <v>0</v>
          </cell>
          <cell r="R92"/>
          <cell r="S92">
            <v>0</v>
          </cell>
          <cell r="T92">
            <v>0</v>
          </cell>
          <cell r="U92">
            <v>0</v>
          </cell>
          <cell r="V92"/>
          <cell r="W92"/>
          <cell r="X92"/>
          <cell r="Y92" t="str">
            <v/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N92" t="str">
            <v/>
          </cell>
          <cell r="AO92" t="str">
            <v/>
          </cell>
          <cell r="AP92" t="str">
            <v/>
          </cell>
          <cell r="AQ92" t="str">
            <v/>
          </cell>
          <cell r="AR92" t="str">
            <v/>
          </cell>
          <cell r="AS92" t="str">
            <v/>
          </cell>
          <cell r="AT92" t="str">
            <v/>
          </cell>
          <cell r="AU92" t="str">
            <v/>
          </cell>
          <cell r="AV92" t="str">
            <v/>
          </cell>
          <cell r="AW92" t="str">
            <v/>
          </cell>
          <cell r="AX92" t="str">
            <v/>
          </cell>
          <cell r="AY92" t="str">
            <v/>
          </cell>
        </row>
        <row r="93">
          <cell r="A93" t="str">
            <v>EVOGENE</v>
          </cell>
          <cell r="B93"/>
          <cell r="C93" t="str">
            <v>SOW</v>
          </cell>
          <cell r="D93" t="str">
            <v>Platform</v>
          </cell>
          <cell r="E93" t="str">
            <v>Data analysis</v>
          </cell>
          <cell r="F93">
            <v>32513814</v>
          </cell>
          <cell r="G93" t="str">
            <v>Orit Granitz</v>
          </cell>
          <cell r="H93">
            <v>1</v>
          </cell>
          <cell r="I93">
            <v>8000</v>
          </cell>
          <cell r="J93">
            <v>0</v>
          </cell>
          <cell r="K93">
            <v>8000</v>
          </cell>
          <cell r="L93">
            <v>813</v>
          </cell>
          <cell r="M93">
            <v>735.3</v>
          </cell>
          <cell r="N93">
            <v>220.5</v>
          </cell>
          <cell r="O93">
            <v>151.5151515151515</v>
          </cell>
          <cell r="P93">
            <v>0</v>
          </cell>
          <cell r="Q93">
            <v>520</v>
          </cell>
          <cell r="R93">
            <v>514.06463636363628</v>
          </cell>
          <cell r="S93">
            <v>666.66666666666663</v>
          </cell>
          <cell r="T93">
            <v>600</v>
          </cell>
          <cell r="U93">
            <v>45.6</v>
          </cell>
          <cell r="V93">
            <v>383.33333333333331</v>
          </cell>
          <cell r="W93">
            <v>0</v>
          </cell>
          <cell r="X93">
            <v>0</v>
          </cell>
          <cell r="Y93">
            <v>12649.979787878789</v>
          </cell>
          <cell r="AA93">
            <v>1</v>
          </cell>
          <cell r="AB93">
            <v>1</v>
          </cell>
          <cell r="AC93">
            <v>1</v>
          </cell>
          <cell r="AD93">
            <v>1</v>
          </cell>
          <cell r="AE93">
            <v>1</v>
          </cell>
          <cell r="AF93">
            <v>1</v>
          </cell>
          <cell r="AG93">
            <v>1</v>
          </cell>
          <cell r="AH93">
            <v>1</v>
          </cell>
          <cell r="AI93">
            <v>1</v>
          </cell>
          <cell r="AJ93">
            <v>1</v>
          </cell>
          <cell r="AK93">
            <v>1</v>
          </cell>
          <cell r="AL93">
            <v>1</v>
          </cell>
          <cell r="AN93">
            <v>3563.37458813487</v>
          </cell>
          <cell r="AO93">
            <v>3563.37458813487</v>
          </cell>
          <cell r="AP93">
            <v>3563.37458813487</v>
          </cell>
          <cell r="AQ93">
            <v>3563.37458813487</v>
          </cell>
          <cell r="AR93">
            <v>3563.37458813487</v>
          </cell>
          <cell r="AS93">
            <v>3563.37458813487</v>
          </cell>
          <cell r="AT93">
            <v>3563.37458813487</v>
          </cell>
          <cell r="AU93">
            <v>3563.37458813487</v>
          </cell>
          <cell r="AV93">
            <v>3563.37458813487</v>
          </cell>
          <cell r="AW93">
            <v>3563.37458813487</v>
          </cell>
          <cell r="AX93">
            <v>3563.37458813487</v>
          </cell>
          <cell r="AY93">
            <v>3563.37458813487</v>
          </cell>
        </row>
        <row r="94">
          <cell r="A94" t="str">
            <v>EVOGENE</v>
          </cell>
          <cell r="B94"/>
          <cell r="C94" t="str">
            <v>SOW</v>
          </cell>
          <cell r="D94" t="str">
            <v>Platform</v>
          </cell>
          <cell r="E94" t="str">
            <v>Data analysis</v>
          </cell>
          <cell r="F94">
            <v>38595468</v>
          </cell>
          <cell r="G94" t="str">
            <v>Noa Sever</v>
          </cell>
          <cell r="H94">
            <v>1</v>
          </cell>
          <cell r="I94">
            <v>10500</v>
          </cell>
          <cell r="J94">
            <v>0</v>
          </cell>
          <cell r="K94">
            <v>10500</v>
          </cell>
          <cell r="L94">
            <v>813</v>
          </cell>
          <cell r="M94">
            <v>220.59</v>
          </cell>
          <cell r="N94">
            <v>220.5</v>
          </cell>
          <cell r="O94">
            <v>198.86363636363635</v>
          </cell>
          <cell r="P94">
            <v>0</v>
          </cell>
          <cell r="Q94">
            <v>682.5</v>
          </cell>
          <cell r="R94">
            <v>666.51252272727265</v>
          </cell>
          <cell r="S94">
            <v>875</v>
          </cell>
          <cell r="T94">
            <v>787.5</v>
          </cell>
          <cell r="U94">
            <v>59.85</v>
          </cell>
          <cell r="V94">
            <v>503.12499999999994</v>
          </cell>
          <cell r="W94">
            <v>0</v>
          </cell>
          <cell r="X94">
            <v>0</v>
          </cell>
          <cell r="Y94">
            <v>15527.441159090909</v>
          </cell>
          <cell r="AA94">
            <v>0.5</v>
          </cell>
          <cell r="AB94">
            <v>0.5</v>
          </cell>
          <cell r="AC94">
            <v>0.5</v>
          </cell>
          <cell r="AD94">
            <v>0.5</v>
          </cell>
          <cell r="AE94">
            <v>0.5</v>
          </cell>
          <cell r="AF94">
            <v>0.5</v>
          </cell>
          <cell r="AG94">
            <v>0.5</v>
          </cell>
          <cell r="AH94">
            <v>0.5</v>
          </cell>
          <cell r="AI94">
            <v>0.5</v>
          </cell>
          <cell r="AJ94">
            <v>0.5</v>
          </cell>
          <cell r="AK94">
            <v>0.5</v>
          </cell>
          <cell r="AL94">
            <v>0.5</v>
          </cell>
          <cell r="AN94">
            <v>2186.963543533931</v>
          </cell>
          <cell r="AO94">
            <v>2186.963543533931</v>
          </cell>
          <cell r="AP94">
            <v>2186.963543533931</v>
          </cell>
          <cell r="AQ94">
            <v>2186.963543533931</v>
          </cell>
          <cell r="AR94">
            <v>2186.963543533931</v>
          </cell>
          <cell r="AS94">
            <v>2186.963543533931</v>
          </cell>
          <cell r="AT94">
            <v>2186.963543533931</v>
          </cell>
          <cell r="AU94">
            <v>2186.963543533931</v>
          </cell>
          <cell r="AV94">
            <v>2186.963543533931</v>
          </cell>
          <cell r="AW94">
            <v>2186.963543533931</v>
          </cell>
          <cell r="AX94">
            <v>2186.963543533931</v>
          </cell>
          <cell r="AY94">
            <v>2186.963543533931</v>
          </cell>
        </row>
        <row r="95">
          <cell r="A95" t="str">
            <v>EVOGENE</v>
          </cell>
          <cell r="B95"/>
          <cell r="C95" t="str">
            <v>SOW</v>
          </cell>
          <cell r="D95" t="str">
            <v>Platform</v>
          </cell>
          <cell r="E95" t="str">
            <v>PLM</v>
          </cell>
          <cell r="F95">
            <v>38595468</v>
          </cell>
          <cell r="G95" t="str">
            <v>Noa Sever</v>
          </cell>
          <cell r="H95">
            <v>1</v>
          </cell>
          <cell r="I95">
            <v>10500</v>
          </cell>
          <cell r="J95">
            <v>0</v>
          </cell>
          <cell r="K95">
            <v>10500</v>
          </cell>
          <cell r="L95">
            <v>813</v>
          </cell>
          <cell r="M95">
            <v>220.59</v>
          </cell>
          <cell r="N95">
            <v>220.5</v>
          </cell>
          <cell r="O95">
            <v>198.86363636363635</v>
          </cell>
          <cell r="P95">
            <v>0</v>
          </cell>
          <cell r="Q95">
            <v>682.5</v>
          </cell>
          <cell r="R95">
            <v>666.51252272727265</v>
          </cell>
          <cell r="S95">
            <v>875</v>
          </cell>
          <cell r="T95">
            <v>787.5</v>
          </cell>
          <cell r="U95">
            <v>59.85</v>
          </cell>
          <cell r="V95">
            <v>503.12499999999994</v>
          </cell>
          <cell r="W95">
            <v>0</v>
          </cell>
          <cell r="X95">
            <v>0</v>
          </cell>
          <cell r="Y95">
            <v>15527.441159090909</v>
          </cell>
          <cell r="AA95">
            <v>0.5</v>
          </cell>
          <cell r="AB95">
            <v>0.5</v>
          </cell>
          <cell r="AC95">
            <v>0.5</v>
          </cell>
          <cell r="AD95">
            <v>0.5</v>
          </cell>
          <cell r="AE95">
            <v>0.5</v>
          </cell>
          <cell r="AF95">
            <v>0.5</v>
          </cell>
          <cell r="AG95">
            <v>0.5</v>
          </cell>
          <cell r="AH95">
            <v>0.5</v>
          </cell>
          <cell r="AI95">
            <v>0.5</v>
          </cell>
          <cell r="AJ95">
            <v>0.5</v>
          </cell>
          <cell r="AK95">
            <v>0.5</v>
          </cell>
          <cell r="AL95">
            <v>0.5</v>
          </cell>
          <cell r="AN95">
            <v>2186.963543533931</v>
          </cell>
          <cell r="AO95">
            <v>2186.963543533931</v>
          </cell>
          <cell r="AP95">
            <v>2186.963543533931</v>
          </cell>
          <cell r="AQ95">
            <v>2186.963543533931</v>
          </cell>
          <cell r="AR95">
            <v>2186.963543533931</v>
          </cell>
          <cell r="AS95">
            <v>2186.963543533931</v>
          </cell>
          <cell r="AT95">
            <v>2186.963543533931</v>
          </cell>
          <cell r="AU95">
            <v>2186.963543533931</v>
          </cell>
          <cell r="AV95">
            <v>2186.963543533931</v>
          </cell>
          <cell r="AW95">
            <v>2186.963543533931</v>
          </cell>
          <cell r="AX95">
            <v>2186.963543533931</v>
          </cell>
          <cell r="AY95">
            <v>2186.963543533931</v>
          </cell>
        </row>
        <row r="96">
          <cell r="A96" t="str">
            <v>EVOGENE</v>
          </cell>
          <cell r="B96"/>
          <cell r="C96" t="str">
            <v>SOW</v>
          </cell>
          <cell r="D96" t="str">
            <v>Platform</v>
          </cell>
          <cell r="E96" t="str">
            <v>Data analysis</v>
          </cell>
          <cell r="F96">
            <v>40850158</v>
          </cell>
          <cell r="G96" t="str">
            <v>Yogev Montekyo</v>
          </cell>
          <cell r="H96">
            <v>0.8</v>
          </cell>
          <cell r="I96">
            <v>18000</v>
          </cell>
          <cell r="J96">
            <v>0</v>
          </cell>
          <cell r="K96">
            <v>22500</v>
          </cell>
          <cell r="L96">
            <v>813</v>
          </cell>
          <cell r="M96">
            <v>486.79</v>
          </cell>
          <cell r="N96">
            <v>176.4</v>
          </cell>
          <cell r="O96">
            <v>340.90909090909088</v>
          </cell>
          <cell r="P96">
            <v>0</v>
          </cell>
          <cell r="Q96">
            <v>1462.5</v>
          </cell>
          <cell r="R96">
            <v>1593.8234318181821</v>
          </cell>
          <cell r="S96">
            <v>1875</v>
          </cell>
          <cell r="T96">
            <v>1687.5</v>
          </cell>
          <cell r="U96">
            <v>128.25</v>
          </cell>
          <cell r="V96">
            <v>1078.1249999999998</v>
          </cell>
          <cell r="W96">
            <v>0</v>
          </cell>
          <cell r="X96">
            <v>0</v>
          </cell>
          <cell r="Y96">
            <v>32142.297522727276</v>
          </cell>
          <cell r="AA96">
            <v>0.8</v>
          </cell>
          <cell r="AB96">
            <v>0.8</v>
          </cell>
          <cell r="AC96">
            <v>0.8</v>
          </cell>
          <cell r="AD96">
            <v>0.8</v>
          </cell>
          <cell r="AE96">
            <v>0.8</v>
          </cell>
          <cell r="AF96">
            <v>0.8</v>
          </cell>
          <cell r="AG96">
            <v>0.8</v>
          </cell>
          <cell r="AH96">
            <v>0.8</v>
          </cell>
          <cell r="AI96">
            <v>0.8</v>
          </cell>
          <cell r="AJ96">
            <v>0.8</v>
          </cell>
          <cell r="AK96">
            <v>0.8</v>
          </cell>
          <cell r="AL96">
            <v>0.8</v>
          </cell>
          <cell r="AN96">
            <v>7243.3346530089639</v>
          </cell>
          <cell r="AO96">
            <v>7243.3346530089639</v>
          </cell>
          <cell r="AP96">
            <v>7243.3346530089639</v>
          </cell>
          <cell r="AQ96">
            <v>7243.3346530089639</v>
          </cell>
          <cell r="AR96">
            <v>7243.3346530089639</v>
          </cell>
          <cell r="AS96">
            <v>7243.3346530089639</v>
          </cell>
          <cell r="AT96">
            <v>7243.3346530089639</v>
          </cell>
          <cell r="AU96">
            <v>7243.3346530089639</v>
          </cell>
          <cell r="AV96">
            <v>7243.3346530089639</v>
          </cell>
          <cell r="AW96">
            <v>7243.3346530089639</v>
          </cell>
          <cell r="AX96">
            <v>7243.3346530089639</v>
          </cell>
          <cell r="AY96">
            <v>7243.3346530089639</v>
          </cell>
        </row>
        <row r="97">
          <cell r="A97" t="str">
            <v>EVOGENE</v>
          </cell>
          <cell r="B97"/>
          <cell r="C97" t="str">
            <v>SOW</v>
          </cell>
          <cell r="D97" t="str">
            <v>Platform</v>
          </cell>
          <cell r="E97" t="str">
            <v>Data analysis</v>
          </cell>
          <cell r="F97">
            <v>201568706</v>
          </cell>
          <cell r="G97" t="str">
            <v>Eran Bachar</v>
          </cell>
          <cell r="H97">
            <v>0.8</v>
          </cell>
          <cell r="I97">
            <v>10300</v>
          </cell>
          <cell r="J97">
            <v>0</v>
          </cell>
          <cell r="K97">
            <v>12875</v>
          </cell>
          <cell r="L97">
            <v>813</v>
          </cell>
          <cell r="M97">
            <v>735.29</v>
          </cell>
          <cell r="N97">
            <v>189</v>
          </cell>
          <cell r="O97">
            <v>195.07575757575759</v>
          </cell>
          <cell r="P97">
            <v>0</v>
          </cell>
          <cell r="Q97">
            <v>836.875</v>
          </cell>
          <cell r="R97">
            <v>880.5934318181819</v>
          </cell>
          <cell r="S97">
            <v>1072.9166666666665</v>
          </cell>
          <cell r="T97">
            <v>965.625</v>
          </cell>
          <cell r="U97">
            <v>73.387500000000003</v>
          </cell>
          <cell r="V97">
            <v>616.92708333333326</v>
          </cell>
          <cell r="W97">
            <v>0</v>
          </cell>
          <cell r="X97">
            <v>0</v>
          </cell>
          <cell r="Y97">
            <v>19253.69043939394</v>
          </cell>
          <cell r="AA97">
            <v>1</v>
          </cell>
          <cell r="AB97">
            <v>1</v>
          </cell>
          <cell r="AC97">
            <v>1</v>
          </cell>
          <cell r="AD97">
            <v>1</v>
          </cell>
          <cell r="AE97">
            <v>1</v>
          </cell>
          <cell r="AF97">
            <v>1</v>
          </cell>
          <cell r="AG97">
            <v>1</v>
          </cell>
          <cell r="AH97">
            <v>1</v>
          </cell>
          <cell r="AI97">
            <v>1</v>
          </cell>
          <cell r="AJ97">
            <v>1</v>
          </cell>
          <cell r="AK97">
            <v>1</v>
          </cell>
          <cell r="AL97">
            <v>1</v>
          </cell>
          <cell r="AN97">
            <v>5423.5747716602655</v>
          </cell>
          <cell r="AO97">
            <v>5423.5747716602655</v>
          </cell>
          <cell r="AP97">
            <v>5423.5747716602655</v>
          </cell>
          <cell r="AQ97">
            <v>5423.5747716602655</v>
          </cell>
          <cell r="AR97">
            <v>5423.5747716602655</v>
          </cell>
          <cell r="AS97">
            <v>5423.5747716602655</v>
          </cell>
          <cell r="AT97">
            <v>5423.5747716602655</v>
          </cell>
          <cell r="AU97">
            <v>5423.5747716602655</v>
          </cell>
          <cell r="AV97">
            <v>5423.5747716602655</v>
          </cell>
          <cell r="AW97">
            <v>5423.5747716602655</v>
          </cell>
          <cell r="AX97">
            <v>5423.5747716602655</v>
          </cell>
          <cell r="AY97">
            <v>5423.5747716602655</v>
          </cell>
        </row>
        <row r="98">
          <cell r="A98" t="str">
            <v>EVOGENE</v>
          </cell>
          <cell r="B98"/>
          <cell r="C98" t="str">
            <v>SOW</v>
          </cell>
          <cell r="D98" t="str">
            <v>Platform</v>
          </cell>
          <cell r="E98" t="str">
            <v>Data analysis</v>
          </cell>
          <cell r="F98">
            <v>300811171</v>
          </cell>
          <cell r="G98" t="str">
            <v>Roni  Kalchiem</v>
          </cell>
          <cell r="H98">
            <v>1</v>
          </cell>
          <cell r="I98">
            <v>7500</v>
          </cell>
          <cell r="J98">
            <v>0</v>
          </cell>
          <cell r="K98">
            <v>7500</v>
          </cell>
          <cell r="L98">
            <v>813</v>
          </cell>
          <cell r="M98">
            <v>202</v>
          </cell>
          <cell r="N98">
            <v>189</v>
          </cell>
          <cell r="O98">
            <v>142.04545454545456</v>
          </cell>
          <cell r="P98">
            <v>0</v>
          </cell>
          <cell r="Q98">
            <v>487.5</v>
          </cell>
          <cell r="R98">
            <v>433.49440909090907</v>
          </cell>
          <cell r="S98">
            <v>625</v>
          </cell>
          <cell r="T98">
            <v>562.5</v>
          </cell>
          <cell r="U98">
            <v>42.75</v>
          </cell>
          <cell r="V98">
            <v>359.375</v>
          </cell>
          <cell r="W98">
            <v>0</v>
          </cell>
          <cell r="X98">
            <v>0</v>
          </cell>
          <cell r="Y98">
            <v>11356.664863636362</v>
          </cell>
          <cell r="AA98">
            <v>1</v>
          </cell>
          <cell r="AB98">
            <v>1</v>
          </cell>
          <cell r="AC98">
            <v>1</v>
          </cell>
          <cell r="AD98">
            <v>1</v>
          </cell>
          <cell r="AE98">
            <v>1</v>
          </cell>
          <cell r="AF98">
            <v>1</v>
          </cell>
          <cell r="AG98">
            <v>1</v>
          </cell>
          <cell r="AH98">
            <v>1</v>
          </cell>
          <cell r="AI98">
            <v>1</v>
          </cell>
          <cell r="AJ98">
            <v>1</v>
          </cell>
          <cell r="AK98">
            <v>1</v>
          </cell>
          <cell r="AL98">
            <v>1</v>
          </cell>
          <cell r="AN98">
            <v>3199.0605249679897</v>
          </cell>
          <cell r="AO98">
            <v>3199.0605249679897</v>
          </cell>
          <cell r="AP98">
            <v>3199.0605249679897</v>
          </cell>
          <cell r="AQ98">
            <v>3199.0605249679897</v>
          </cell>
          <cell r="AR98">
            <v>3199.0605249679897</v>
          </cell>
          <cell r="AS98">
            <v>3199.0605249679897</v>
          </cell>
          <cell r="AT98">
            <v>3199.0605249679897</v>
          </cell>
          <cell r="AU98">
            <v>3199.0605249679897</v>
          </cell>
          <cell r="AV98">
            <v>3199.0605249679897</v>
          </cell>
          <cell r="AW98">
            <v>3199.0605249679897</v>
          </cell>
          <cell r="AX98">
            <v>3199.0605249679897</v>
          </cell>
          <cell r="AY98">
            <v>3199.0605249679897</v>
          </cell>
        </row>
        <row r="99">
          <cell r="A99" t="str">
            <v>EVOGENE</v>
          </cell>
          <cell r="B99"/>
          <cell r="C99" t="str">
            <v>SOW</v>
          </cell>
          <cell r="D99" t="str">
            <v>Platform</v>
          </cell>
          <cell r="E99" t="str">
            <v>Data analysis</v>
          </cell>
          <cell r="F99">
            <v>321509358</v>
          </cell>
          <cell r="G99" t="str">
            <v>Bella Finkelshtein</v>
          </cell>
          <cell r="H99">
            <v>1</v>
          </cell>
          <cell r="I99">
            <v>9500</v>
          </cell>
          <cell r="J99">
            <v>0</v>
          </cell>
          <cell r="K99">
            <v>9500</v>
          </cell>
          <cell r="L99">
            <v>813</v>
          </cell>
          <cell r="M99">
            <v>379.41</v>
          </cell>
          <cell r="N99">
            <v>189</v>
          </cell>
          <cell r="O99">
            <v>179.92424242424241</v>
          </cell>
          <cell r="P99">
            <v>0</v>
          </cell>
          <cell r="Q99">
            <v>617.5</v>
          </cell>
          <cell r="R99">
            <v>599.64106818181813</v>
          </cell>
          <cell r="S99">
            <v>791.66666666666663</v>
          </cell>
          <cell r="T99">
            <v>712.5</v>
          </cell>
          <cell r="U99">
            <v>54.15</v>
          </cell>
          <cell r="V99">
            <v>455.20833333333331</v>
          </cell>
          <cell r="W99">
            <v>0</v>
          </cell>
          <cell r="X99">
            <v>0</v>
          </cell>
          <cell r="Y99">
            <v>14292.000310606059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</row>
        <row r="100">
          <cell r="A100" t="str">
            <v>EVOGENE</v>
          </cell>
          <cell r="B100"/>
          <cell r="C100" t="str">
            <v>SOW</v>
          </cell>
          <cell r="D100" t="str">
            <v>Platform</v>
          </cell>
          <cell r="E100" t="str">
            <v>Data analysis</v>
          </cell>
          <cell r="F100">
            <v>305337396</v>
          </cell>
          <cell r="G100" t="str">
            <v>Keren Hondiashvili</v>
          </cell>
          <cell r="H100">
            <v>1</v>
          </cell>
          <cell r="I100">
            <v>12000</v>
          </cell>
          <cell r="J100"/>
          <cell r="K100">
            <v>12000</v>
          </cell>
          <cell r="L100">
            <v>813</v>
          </cell>
          <cell r="M100">
            <v>379.41</v>
          </cell>
          <cell r="N100">
            <v>189</v>
          </cell>
          <cell r="O100">
            <v>227.27272727272728</v>
          </cell>
          <cell r="P100"/>
          <cell r="Q100">
            <v>780</v>
          </cell>
          <cell r="R100">
            <v>790.69220454545462</v>
          </cell>
          <cell r="S100">
            <v>1000</v>
          </cell>
          <cell r="T100">
            <v>900</v>
          </cell>
          <cell r="U100">
            <v>68.400000000000006</v>
          </cell>
          <cell r="V100">
            <v>574.99999999999989</v>
          </cell>
          <cell r="W100"/>
          <cell r="X100"/>
          <cell r="Y100">
            <v>17722.774931818181</v>
          </cell>
          <cell r="AA100">
            <v>1</v>
          </cell>
          <cell r="AB100">
            <v>1</v>
          </cell>
          <cell r="AC100">
            <v>1</v>
          </cell>
          <cell r="AD100">
            <v>1</v>
          </cell>
          <cell r="AE100">
            <v>1</v>
          </cell>
          <cell r="AF100">
            <v>1</v>
          </cell>
          <cell r="AG100">
            <v>1</v>
          </cell>
          <cell r="AH100">
            <v>1</v>
          </cell>
          <cell r="AI100">
            <v>1</v>
          </cell>
          <cell r="AJ100">
            <v>1</v>
          </cell>
          <cell r="AK100">
            <v>1</v>
          </cell>
          <cell r="AL100">
            <v>1</v>
          </cell>
          <cell r="AN100">
            <v>4992.3309667093472</v>
          </cell>
          <cell r="AO100">
            <v>4992.3309667093472</v>
          </cell>
          <cell r="AP100">
            <v>4992.3309667093472</v>
          </cell>
          <cell r="AQ100">
            <v>4992.3309667093472</v>
          </cell>
          <cell r="AR100">
            <v>4992.3309667093472</v>
          </cell>
          <cell r="AS100">
            <v>4992.3309667093472</v>
          </cell>
          <cell r="AT100">
            <v>4992.3309667093472</v>
          </cell>
          <cell r="AU100">
            <v>4992.3309667093472</v>
          </cell>
          <cell r="AV100">
            <v>4992.3309667093472</v>
          </cell>
          <cell r="AW100">
            <v>4992.3309667093472</v>
          </cell>
          <cell r="AX100">
            <v>4992.3309667093472</v>
          </cell>
          <cell r="AY100">
            <v>4992.3309667093472</v>
          </cell>
        </row>
        <row r="101">
          <cell r="A101" t="str">
            <v>EVOGENE</v>
          </cell>
          <cell r="B101"/>
          <cell r="C101" t="str">
            <v>SOW</v>
          </cell>
          <cell r="D101" t="str">
            <v>Platform</v>
          </cell>
          <cell r="E101" t="str">
            <v>Data analysis</v>
          </cell>
          <cell r="G101" t="str">
            <v>Yael Vilk</v>
          </cell>
          <cell r="H101">
            <v>1</v>
          </cell>
          <cell r="I101">
            <v>9000</v>
          </cell>
          <cell r="J101"/>
          <cell r="K101">
            <v>9000</v>
          </cell>
          <cell r="L101">
            <v>813</v>
          </cell>
          <cell r="M101">
            <v>379.41</v>
          </cell>
          <cell r="N101">
            <v>189</v>
          </cell>
          <cell r="O101">
            <v>170.45454545454544</v>
          </cell>
          <cell r="P101"/>
          <cell r="Q101">
            <v>585</v>
          </cell>
          <cell r="R101">
            <v>561.43084090909088</v>
          </cell>
          <cell r="S101">
            <v>750</v>
          </cell>
          <cell r="T101">
            <v>675</v>
          </cell>
          <cell r="U101">
            <v>51.300000000000004</v>
          </cell>
          <cell r="V101">
            <v>431.25</v>
          </cell>
          <cell r="W101"/>
          <cell r="X101"/>
          <cell r="Y101">
            <v>13605.845386363635</v>
          </cell>
          <cell r="AA101">
            <v>1</v>
          </cell>
          <cell r="AB101">
            <v>1</v>
          </cell>
          <cell r="AC101">
            <v>1</v>
          </cell>
          <cell r="AD101">
            <v>1</v>
          </cell>
          <cell r="AE101">
            <v>1</v>
          </cell>
          <cell r="AF101">
            <v>1</v>
          </cell>
          <cell r="AG101">
            <v>1</v>
          </cell>
          <cell r="AH101">
            <v>1</v>
          </cell>
          <cell r="AI101">
            <v>1</v>
          </cell>
          <cell r="AJ101">
            <v>1</v>
          </cell>
          <cell r="AK101">
            <v>1</v>
          </cell>
          <cell r="AL101">
            <v>1</v>
          </cell>
          <cell r="AN101">
            <v>3832.6325032010241</v>
          </cell>
          <cell r="AO101">
            <v>3832.6325032010241</v>
          </cell>
          <cell r="AP101">
            <v>3832.6325032010241</v>
          </cell>
          <cell r="AQ101">
            <v>3832.6325032010241</v>
          </cell>
          <cell r="AR101">
            <v>3832.6325032010241</v>
          </cell>
          <cell r="AS101">
            <v>3832.6325032010241</v>
          </cell>
          <cell r="AT101">
            <v>3832.6325032010241</v>
          </cell>
          <cell r="AU101">
            <v>3832.6325032010241</v>
          </cell>
          <cell r="AV101">
            <v>3832.6325032010241</v>
          </cell>
          <cell r="AW101">
            <v>3832.6325032010241</v>
          </cell>
          <cell r="AX101">
            <v>3832.6325032010241</v>
          </cell>
          <cell r="AY101">
            <v>3832.6325032010241</v>
          </cell>
        </row>
        <row r="102">
          <cell r="A102"/>
          <cell r="B102"/>
          <cell r="D102"/>
          <cell r="I102"/>
          <cell r="J102"/>
          <cell r="K102"/>
          <cell r="L102"/>
          <cell r="M102"/>
          <cell r="N102"/>
          <cell r="O102"/>
          <cell r="P102"/>
          <cell r="Q102">
            <v>0</v>
          </cell>
          <cell r="R102"/>
          <cell r="S102">
            <v>0</v>
          </cell>
          <cell r="T102">
            <v>0</v>
          </cell>
          <cell r="U102">
            <v>0</v>
          </cell>
          <cell r="V102"/>
          <cell r="W102"/>
          <cell r="X102"/>
          <cell r="Y102" t="str">
            <v/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N102" t="str">
            <v/>
          </cell>
          <cell r="AO102" t="str">
            <v/>
          </cell>
          <cell r="AP102" t="str">
            <v/>
          </cell>
          <cell r="AQ102" t="str">
            <v/>
          </cell>
          <cell r="AR102" t="str">
            <v/>
          </cell>
          <cell r="AS102" t="str">
            <v/>
          </cell>
          <cell r="AT102" t="str">
            <v/>
          </cell>
          <cell r="AU102" t="str">
            <v/>
          </cell>
          <cell r="AV102" t="str">
            <v/>
          </cell>
          <cell r="AW102" t="str">
            <v/>
          </cell>
          <cell r="AX102" t="str">
            <v/>
          </cell>
          <cell r="AY102" t="str">
            <v/>
          </cell>
        </row>
        <row r="103">
          <cell r="A103" t="str">
            <v>EVOGENE</v>
          </cell>
          <cell r="B103"/>
          <cell r="C103" t="str">
            <v>SOW</v>
          </cell>
          <cell r="D103" t="str">
            <v>Platform</v>
          </cell>
          <cell r="E103" t="str">
            <v>Data Generation</v>
          </cell>
          <cell r="G103" t="str">
            <v>Tomer Mahaler</v>
          </cell>
          <cell r="H103">
            <v>1</v>
          </cell>
          <cell r="I103">
            <v>12000</v>
          </cell>
          <cell r="J103">
            <v>0</v>
          </cell>
          <cell r="K103">
            <v>12000</v>
          </cell>
          <cell r="L103">
            <v>813</v>
          </cell>
          <cell r="M103">
            <v>0</v>
          </cell>
          <cell r="N103">
            <v>220.5</v>
          </cell>
          <cell r="O103">
            <v>227.27272727272728</v>
          </cell>
          <cell r="P103">
            <v>0</v>
          </cell>
          <cell r="Q103">
            <v>780</v>
          </cell>
          <cell r="R103">
            <v>764.59895454545449</v>
          </cell>
          <cell r="S103">
            <v>1000</v>
          </cell>
          <cell r="T103">
            <v>900</v>
          </cell>
          <cell r="U103">
            <v>68.400000000000006</v>
          </cell>
          <cell r="V103">
            <v>574.99999999999989</v>
          </cell>
          <cell r="W103">
            <v>2973.5370000000003</v>
          </cell>
          <cell r="X103">
            <v>1800</v>
          </cell>
          <cell r="Y103">
            <v>22122.308681818184</v>
          </cell>
          <cell r="AA103">
            <v>1</v>
          </cell>
          <cell r="AB103">
            <v>1</v>
          </cell>
          <cell r="AC103">
            <v>1</v>
          </cell>
          <cell r="AD103">
            <v>1</v>
          </cell>
          <cell r="AE103">
            <v>1</v>
          </cell>
          <cell r="AF103">
            <v>1</v>
          </cell>
          <cell r="AG103">
            <v>1</v>
          </cell>
          <cell r="AH103">
            <v>1</v>
          </cell>
          <cell r="AI103">
            <v>1</v>
          </cell>
          <cell r="AJ103">
            <v>1</v>
          </cell>
          <cell r="AK103">
            <v>1</v>
          </cell>
          <cell r="AL103">
            <v>1</v>
          </cell>
          <cell r="AN103">
            <v>6231.636248399489</v>
          </cell>
          <cell r="AO103">
            <v>6231.636248399489</v>
          </cell>
          <cell r="AP103">
            <v>6231.636248399489</v>
          </cell>
          <cell r="AQ103">
            <v>6231.636248399489</v>
          </cell>
          <cell r="AR103">
            <v>6231.636248399489</v>
          </cell>
          <cell r="AS103">
            <v>6231.636248399489</v>
          </cell>
          <cell r="AT103">
            <v>6231.636248399489</v>
          </cell>
          <cell r="AU103">
            <v>6231.636248399489</v>
          </cell>
          <cell r="AV103">
            <v>6231.636248399489</v>
          </cell>
          <cell r="AW103">
            <v>6231.636248399489</v>
          </cell>
          <cell r="AX103">
            <v>6231.636248399489</v>
          </cell>
          <cell r="AY103">
            <v>6231.636248399489</v>
          </cell>
        </row>
        <row r="104">
          <cell r="A104" t="str">
            <v>EVOGENE</v>
          </cell>
          <cell r="B104"/>
          <cell r="C104" t="str">
            <v>SOW</v>
          </cell>
          <cell r="D104" t="str">
            <v>Platform</v>
          </cell>
          <cell r="E104" t="str">
            <v>Data Generation</v>
          </cell>
          <cell r="F104">
            <v>65735151</v>
          </cell>
          <cell r="G104" t="str">
            <v>Itamar Amzaleg</v>
          </cell>
          <cell r="H104">
            <v>1</v>
          </cell>
          <cell r="I104">
            <v>7000</v>
          </cell>
          <cell r="J104">
            <v>0</v>
          </cell>
          <cell r="K104">
            <v>7000</v>
          </cell>
          <cell r="L104">
            <v>813</v>
          </cell>
          <cell r="M104">
            <v>709.79</v>
          </cell>
          <cell r="N104">
            <v>189</v>
          </cell>
          <cell r="O104">
            <v>132.57575757575759</v>
          </cell>
          <cell r="P104">
            <v>0</v>
          </cell>
          <cell r="Q104">
            <v>455</v>
          </cell>
          <cell r="R104">
            <v>433.36843181818193</v>
          </cell>
          <cell r="S104">
            <v>583.33333333333326</v>
          </cell>
          <cell r="T104">
            <v>525</v>
          </cell>
          <cell r="U104">
            <v>39.9</v>
          </cell>
          <cell r="V104">
            <v>335.41666666666663</v>
          </cell>
          <cell r="W104">
            <v>0</v>
          </cell>
          <cell r="X104">
            <v>0</v>
          </cell>
          <cell r="Y104">
            <v>11216.384189393941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</row>
        <row r="105">
          <cell r="A105" t="str">
            <v>EVOGENE</v>
          </cell>
          <cell r="B105"/>
          <cell r="C105" t="str">
            <v>SOW</v>
          </cell>
          <cell r="D105" t="str">
            <v>Platform</v>
          </cell>
          <cell r="E105" t="str">
            <v>Data Generation</v>
          </cell>
          <cell r="F105">
            <v>204423420</v>
          </cell>
          <cell r="G105" t="str">
            <v>Chen Amira</v>
          </cell>
          <cell r="H105">
            <v>0.8</v>
          </cell>
          <cell r="I105">
            <v>5600</v>
          </cell>
          <cell r="J105">
            <v>0</v>
          </cell>
          <cell r="K105">
            <v>7000</v>
          </cell>
          <cell r="L105">
            <v>813</v>
          </cell>
          <cell r="M105">
            <v>325.20999999999998</v>
          </cell>
          <cell r="N105">
            <v>220.5</v>
          </cell>
          <cell r="O105">
            <v>106.06060606060606</v>
          </cell>
          <cell r="P105">
            <v>0</v>
          </cell>
          <cell r="Q105">
            <v>455</v>
          </cell>
          <cell r="R105">
            <v>404.89879545454539</v>
          </cell>
          <cell r="S105">
            <v>583.33333333333326</v>
          </cell>
          <cell r="T105">
            <v>525</v>
          </cell>
          <cell r="U105">
            <v>39.9</v>
          </cell>
          <cell r="V105">
            <v>335.41666666666663</v>
          </cell>
          <cell r="W105">
            <v>0</v>
          </cell>
          <cell r="X105">
            <v>0</v>
          </cell>
          <cell r="Y105">
            <v>10808.319401515149</v>
          </cell>
          <cell r="AA105">
            <v>0.8</v>
          </cell>
          <cell r="AB105">
            <v>0.8</v>
          </cell>
          <cell r="AC105">
            <v>0.8</v>
          </cell>
          <cell r="AD105">
            <v>0.8</v>
          </cell>
          <cell r="AE105">
            <v>0.8</v>
          </cell>
          <cell r="AF105">
            <v>0.8</v>
          </cell>
          <cell r="AG105">
            <v>0.8</v>
          </cell>
          <cell r="AH105">
            <v>0.8</v>
          </cell>
          <cell r="AI105">
            <v>0.8</v>
          </cell>
          <cell r="AJ105">
            <v>0.8</v>
          </cell>
          <cell r="AK105">
            <v>0.8</v>
          </cell>
          <cell r="AL105">
            <v>0.8</v>
          </cell>
          <cell r="AN105">
            <v>2435.6776116090482</v>
          </cell>
          <cell r="AO105">
            <v>2435.6776116090482</v>
          </cell>
          <cell r="AP105">
            <v>2435.6776116090482</v>
          </cell>
          <cell r="AQ105">
            <v>2435.6776116090482</v>
          </cell>
          <cell r="AR105">
            <v>2435.6776116090482</v>
          </cell>
          <cell r="AS105">
            <v>2435.6776116090482</v>
          </cell>
          <cell r="AT105">
            <v>2435.6776116090482</v>
          </cell>
          <cell r="AU105">
            <v>2435.6776116090482</v>
          </cell>
          <cell r="AV105">
            <v>2435.6776116090482</v>
          </cell>
          <cell r="AW105">
            <v>2435.6776116090482</v>
          </cell>
          <cell r="AX105">
            <v>2435.6776116090482</v>
          </cell>
          <cell r="AY105">
            <v>2435.6776116090482</v>
          </cell>
        </row>
        <row r="106">
          <cell r="A106" t="str">
            <v>EVOGENE</v>
          </cell>
          <cell r="B106"/>
          <cell r="C106" t="str">
            <v>SOW</v>
          </cell>
          <cell r="D106" t="str">
            <v>Platform</v>
          </cell>
          <cell r="E106" t="str">
            <v>Data Generation</v>
          </cell>
          <cell r="F106">
            <v>204773394</v>
          </cell>
          <cell r="G106" t="str">
            <v>Sahar Cohen</v>
          </cell>
          <cell r="H106">
            <v>0.8</v>
          </cell>
          <cell r="I106">
            <v>5000</v>
          </cell>
          <cell r="J106">
            <v>0</v>
          </cell>
          <cell r="K106">
            <v>6250</v>
          </cell>
          <cell r="L106">
            <v>813</v>
          </cell>
          <cell r="M106">
            <v>259.07</v>
          </cell>
          <cell r="N106">
            <v>220.5</v>
          </cell>
          <cell r="O106">
            <v>94.696969696969703</v>
          </cell>
          <cell r="P106">
            <v>0</v>
          </cell>
          <cell r="Q106">
            <v>406.25</v>
          </cell>
          <cell r="R106">
            <v>342.83602272727273</v>
          </cell>
          <cell r="S106">
            <v>520.83333333333326</v>
          </cell>
          <cell r="T106">
            <v>468.75</v>
          </cell>
          <cell r="U106">
            <v>35.625</v>
          </cell>
          <cell r="V106">
            <v>299.47916666666663</v>
          </cell>
          <cell r="W106">
            <v>0</v>
          </cell>
          <cell r="X106">
            <v>0</v>
          </cell>
          <cell r="Y106">
            <v>9711.040492424243</v>
          </cell>
          <cell r="AA106">
            <v>0.8</v>
          </cell>
          <cell r="AB106">
            <v>0.8</v>
          </cell>
          <cell r="AC106">
            <v>0.8</v>
          </cell>
          <cell r="AD106">
            <v>0.8</v>
          </cell>
          <cell r="AE106">
            <v>0.8</v>
          </cell>
          <cell r="AF106">
            <v>0.8</v>
          </cell>
          <cell r="AG106">
            <v>0.8</v>
          </cell>
          <cell r="AH106">
            <v>0.8</v>
          </cell>
          <cell r="AI106">
            <v>0.8</v>
          </cell>
          <cell r="AJ106">
            <v>0.8</v>
          </cell>
          <cell r="AK106">
            <v>0.8</v>
          </cell>
          <cell r="AL106">
            <v>0.8</v>
          </cell>
          <cell r="AN106">
            <v>2188.403491250534</v>
          </cell>
          <cell r="AO106">
            <v>2188.403491250534</v>
          </cell>
          <cell r="AP106">
            <v>2188.403491250534</v>
          </cell>
          <cell r="AQ106">
            <v>2188.403491250534</v>
          </cell>
          <cell r="AR106">
            <v>2188.403491250534</v>
          </cell>
          <cell r="AS106">
            <v>2188.403491250534</v>
          </cell>
          <cell r="AT106">
            <v>2188.403491250534</v>
          </cell>
          <cell r="AU106">
            <v>2188.403491250534</v>
          </cell>
          <cell r="AV106">
            <v>2188.403491250534</v>
          </cell>
          <cell r="AW106">
            <v>2188.403491250534</v>
          </cell>
          <cell r="AX106">
            <v>2188.403491250534</v>
          </cell>
          <cell r="AY106">
            <v>2188.403491250534</v>
          </cell>
        </row>
        <row r="107">
          <cell r="A107" t="str">
            <v>EVOGENE</v>
          </cell>
          <cell r="B107"/>
          <cell r="C107" t="str">
            <v>SOW</v>
          </cell>
          <cell r="D107" t="str">
            <v>Platform</v>
          </cell>
          <cell r="E107" t="str">
            <v>Data Generation</v>
          </cell>
          <cell r="F107">
            <v>321432270</v>
          </cell>
          <cell r="G107" t="str">
            <v>Lideya  Gahali</v>
          </cell>
          <cell r="H107">
            <v>1</v>
          </cell>
          <cell r="I107">
            <v>8000</v>
          </cell>
          <cell r="J107">
            <v>0</v>
          </cell>
          <cell r="K107">
            <v>8000</v>
          </cell>
          <cell r="L107">
            <v>813</v>
          </cell>
          <cell r="M107">
            <v>500</v>
          </cell>
          <cell r="N107">
            <v>220.5</v>
          </cell>
          <cell r="O107">
            <v>151.5151515151515</v>
          </cell>
          <cell r="P107">
            <v>0</v>
          </cell>
          <cell r="Q107">
            <v>520</v>
          </cell>
          <cell r="R107">
            <v>496.41713636363642</v>
          </cell>
          <cell r="S107">
            <v>666.66666666666663</v>
          </cell>
          <cell r="T107">
            <v>600</v>
          </cell>
          <cell r="U107">
            <v>45.6</v>
          </cell>
          <cell r="V107">
            <v>383.33333333333331</v>
          </cell>
          <cell r="W107">
            <v>0</v>
          </cell>
          <cell r="X107">
            <v>0</v>
          </cell>
          <cell r="Y107">
            <v>12397.032287878788</v>
          </cell>
          <cell r="AA107">
            <v>1</v>
          </cell>
          <cell r="AB107">
            <v>1</v>
          </cell>
          <cell r="AC107">
            <v>1</v>
          </cell>
          <cell r="AD107">
            <v>1</v>
          </cell>
          <cell r="AE107">
            <v>1</v>
          </cell>
          <cell r="AF107">
            <v>1</v>
          </cell>
          <cell r="AG107">
            <v>1</v>
          </cell>
          <cell r="AH107">
            <v>1</v>
          </cell>
          <cell r="AI107">
            <v>1</v>
          </cell>
          <cell r="AJ107">
            <v>1</v>
          </cell>
          <cell r="AK107">
            <v>1</v>
          </cell>
          <cell r="AL107">
            <v>1</v>
          </cell>
          <cell r="AN107">
            <v>3492.1217712334615</v>
          </cell>
          <cell r="AO107">
            <v>3492.1217712334615</v>
          </cell>
          <cell r="AP107">
            <v>3492.1217712334615</v>
          </cell>
          <cell r="AQ107">
            <v>3492.1217712334615</v>
          </cell>
          <cell r="AR107">
            <v>3492.1217712334615</v>
          </cell>
          <cell r="AS107">
            <v>3492.1217712334615</v>
          </cell>
          <cell r="AT107">
            <v>3492.1217712334615</v>
          </cell>
          <cell r="AU107">
            <v>3492.1217712334615</v>
          </cell>
          <cell r="AV107">
            <v>3492.1217712334615</v>
          </cell>
          <cell r="AW107">
            <v>3492.1217712334615</v>
          </cell>
          <cell r="AX107">
            <v>3492.1217712334615</v>
          </cell>
          <cell r="AY107">
            <v>3492.1217712334615</v>
          </cell>
        </row>
        <row r="108">
          <cell r="A108"/>
          <cell r="B108"/>
          <cell r="D108"/>
          <cell r="I108"/>
          <cell r="J108"/>
          <cell r="K108"/>
          <cell r="L108"/>
          <cell r="M108"/>
          <cell r="N108"/>
          <cell r="O108"/>
          <cell r="P108"/>
          <cell r="Q108">
            <v>0</v>
          </cell>
          <cell r="R108"/>
          <cell r="S108">
            <v>0</v>
          </cell>
          <cell r="T108">
            <v>0</v>
          </cell>
          <cell r="U108">
            <v>0</v>
          </cell>
          <cell r="V108"/>
          <cell r="W108"/>
          <cell r="X108"/>
          <cell r="Y108" t="str">
            <v/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N108" t="str">
            <v/>
          </cell>
          <cell r="AO108" t="str">
            <v/>
          </cell>
          <cell r="AP108" t="str">
            <v/>
          </cell>
          <cell r="AQ108" t="str">
            <v/>
          </cell>
          <cell r="AR108" t="str">
            <v/>
          </cell>
          <cell r="AS108" t="str">
            <v/>
          </cell>
          <cell r="AT108" t="str">
            <v/>
          </cell>
          <cell r="AU108" t="str">
            <v/>
          </cell>
          <cell r="AV108" t="str">
            <v/>
          </cell>
          <cell r="AW108" t="str">
            <v/>
          </cell>
          <cell r="AX108" t="str">
            <v/>
          </cell>
          <cell r="AY108" t="str">
            <v/>
          </cell>
        </row>
        <row r="109">
          <cell r="A109" t="str">
            <v>EVOGENE</v>
          </cell>
          <cell r="B109"/>
          <cell r="C109" t="str">
            <v>SOW</v>
          </cell>
          <cell r="D109" t="str">
            <v>Platform</v>
          </cell>
          <cell r="E109" t="str">
            <v>IMS</v>
          </cell>
          <cell r="F109">
            <v>32204570</v>
          </cell>
          <cell r="G109" t="str">
            <v>Meirav Tzabari Shai</v>
          </cell>
          <cell r="H109">
            <v>0.9</v>
          </cell>
          <cell r="I109">
            <v>13050</v>
          </cell>
          <cell r="J109">
            <v>0</v>
          </cell>
          <cell r="K109">
            <v>14500</v>
          </cell>
          <cell r="L109">
            <v>813</v>
          </cell>
          <cell r="M109">
            <v>385.97</v>
          </cell>
          <cell r="N109">
            <v>170.1</v>
          </cell>
          <cell r="O109">
            <v>247.15909090909088</v>
          </cell>
          <cell r="P109">
            <v>0</v>
          </cell>
          <cell r="Q109">
            <v>942.5</v>
          </cell>
          <cell r="R109">
            <v>978.75818181818181</v>
          </cell>
          <cell r="S109">
            <v>1208.3333333333333</v>
          </cell>
          <cell r="T109">
            <v>1087.5</v>
          </cell>
          <cell r="U109">
            <v>82.65</v>
          </cell>
          <cell r="V109">
            <v>694.79166666666663</v>
          </cell>
          <cell r="W109">
            <v>0</v>
          </cell>
          <cell r="X109">
            <v>0</v>
          </cell>
          <cell r="Y109">
            <v>21110.762272727272</v>
          </cell>
          <cell r="AA109">
            <v>0.9</v>
          </cell>
          <cell r="AB109">
            <v>0.9</v>
          </cell>
          <cell r="AC109">
            <v>0.9</v>
          </cell>
          <cell r="AD109">
            <v>0.9</v>
          </cell>
          <cell r="AE109">
            <v>0.9</v>
          </cell>
          <cell r="AF109">
            <v>0.9</v>
          </cell>
          <cell r="AG109">
            <v>0.9</v>
          </cell>
          <cell r="AH109">
            <v>0.9</v>
          </cell>
          <cell r="AI109">
            <v>0.9</v>
          </cell>
          <cell r="AJ109">
            <v>0.9</v>
          </cell>
          <cell r="AK109">
            <v>0.9</v>
          </cell>
          <cell r="AL109">
            <v>0.9</v>
          </cell>
          <cell r="AN109">
            <v>5352.0242381562102</v>
          </cell>
          <cell r="AO109">
            <v>5352.0242381562102</v>
          </cell>
          <cell r="AP109">
            <v>5352.0242381562102</v>
          </cell>
          <cell r="AQ109">
            <v>5352.0242381562102</v>
          </cell>
          <cell r="AR109">
            <v>5352.0242381562102</v>
          </cell>
          <cell r="AS109">
            <v>5352.0242381562102</v>
          </cell>
          <cell r="AT109">
            <v>5352.0242381562102</v>
          </cell>
          <cell r="AU109">
            <v>5352.0242381562102</v>
          </cell>
          <cell r="AV109">
            <v>5352.0242381562102</v>
          </cell>
          <cell r="AW109">
            <v>5352.0242381562102</v>
          </cell>
          <cell r="AX109">
            <v>5352.0242381562102</v>
          </cell>
          <cell r="AY109">
            <v>5352.0242381562102</v>
          </cell>
        </row>
        <row r="110">
          <cell r="A110" t="str">
            <v>EVOGENE</v>
          </cell>
          <cell r="B110"/>
          <cell r="C110" t="str">
            <v>SOW</v>
          </cell>
          <cell r="D110" t="str">
            <v>Platform</v>
          </cell>
          <cell r="E110" t="str">
            <v>IMS</v>
          </cell>
          <cell r="F110">
            <v>34171348</v>
          </cell>
          <cell r="G110" t="str">
            <v>Noam Artzi</v>
          </cell>
          <cell r="H110">
            <v>1</v>
          </cell>
          <cell r="I110">
            <v>21000</v>
          </cell>
          <cell r="J110">
            <v>-1844</v>
          </cell>
          <cell r="K110">
            <v>19156</v>
          </cell>
          <cell r="L110">
            <v>813</v>
          </cell>
          <cell r="M110">
            <v>0</v>
          </cell>
          <cell r="N110">
            <v>157.5</v>
          </cell>
          <cell r="O110">
            <v>397.72727272727269</v>
          </cell>
          <cell r="P110">
            <v>0</v>
          </cell>
          <cell r="Q110">
            <v>1245.1400000000001</v>
          </cell>
          <cell r="R110">
            <v>1309.3580454545454</v>
          </cell>
          <cell r="S110">
            <v>1596.3333333333333</v>
          </cell>
          <cell r="T110">
            <v>1436.7</v>
          </cell>
          <cell r="U110">
            <v>109.1892</v>
          </cell>
          <cell r="V110">
            <v>1006.2499999999999</v>
          </cell>
          <cell r="W110">
            <v>2200</v>
          </cell>
          <cell r="X110">
            <v>1300</v>
          </cell>
          <cell r="Y110">
            <v>30727.19785151515</v>
          </cell>
          <cell r="AA110">
            <v>1</v>
          </cell>
          <cell r="AB110">
            <v>1</v>
          </cell>
          <cell r="AC110">
            <v>1</v>
          </cell>
          <cell r="AD110">
            <v>1</v>
          </cell>
          <cell r="AE110">
            <v>1</v>
          </cell>
          <cell r="AF110">
            <v>1</v>
          </cell>
          <cell r="AG110">
            <v>1</v>
          </cell>
          <cell r="AH110">
            <v>1</v>
          </cell>
          <cell r="AI110">
            <v>1</v>
          </cell>
          <cell r="AJ110">
            <v>1</v>
          </cell>
          <cell r="AK110">
            <v>1</v>
          </cell>
          <cell r="AL110">
            <v>1</v>
          </cell>
          <cell r="AN110">
            <v>8655.548690567648</v>
          </cell>
          <cell r="AO110">
            <v>8655.548690567648</v>
          </cell>
          <cell r="AP110">
            <v>8655.548690567648</v>
          </cell>
          <cell r="AQ110">
            <v>8655.548690567648</v>
          </cell>
          <cell r="AR110">
            <v>8655.548690567648</v>
          </cell>
          <cell r="AS110">
            <v>8655.548690567648</v>
          </cell>
          <cell r="AT110">
            <v>8655.548690567648</v>
          </cell>
          <cell r="AU110">
            <v>8655.548690567648</v>
          </cell>
          <cell r="AV110">
            <v>8655.548690567648</v>
          </cell>
          <cell r="AW110">
            <v>8655.548690567648</v>
          </cell>
          <cell r="AX110">
            <v>8655.548690567648</v>
          </cell>
          <cell r="AY110">
            <v>8655.548690567648</v>
          </cell>
        </row>
        <row r="111">
          <cell r="A111" t="str">
            <v>EVOGENE</v>
          </cell>
          <cell r="B111"/>
          <cell r="C111" t="str">
            <v>SOW</v>
          </cell>
          <cell r="D111" t="str">
            <v>Platform</v>
          </cell>
          <cell r="E111" t="str">
            <v>IMS</v>
          </cell>
          <cell r="F111">
            <v>307778670</v>
          </cell>
          <cell r="G111" t="str">
            <v>Shai Gusin</v>
          </cell>
          <cell r="H111">
            <v>1</v>
          </cell>
          <cell r="I111">
            <v>26000</v>
          </cell>
          <cell r="J111">
            <v>-1972</v>
          </cell>
          <cell r="K111">
            <v>24028</v>
          </cell>
          <cell r="L111">
            <v>813</v>
          </cell>
          <cell r="M111">
            <v>0</v>
          </cell>
          <cell r="N111">
            <v>189</v>
          </cell>
          <cell r="O111">
            <v>492.42424242424244</v>
          </cell>
          <cell r="P111">
            <v>0</v>
          </cell>
          <cell r="Q111">
            <v>1561.8200000000002</v>
          </cell>
          <cell r="R111">
            <v>1684.2228181818184</v>
          </cell>
          <cell r="S111">
            <v>2002.3333333333333</v>
          </cell>
          <cell r="T111">
            <v>1802.1</v>
          </cell>
          <cell r="U111">
            <v>136.95959999999999</v>
          </cell>
          <cell r="V111">
            <v>1245.8333333333333</v>
          </cell>
          <cell r="W111">
            <v>2400</v>
          </cell>
          <cell r="X111">
            <v>1000</v>
          </cell>
          <cell r="Y111">
            <v>37355.693327272726</v>
          </cell>
          <cell r="AA111">
            <v>1</v>
          </cell>
          <cell r="AB111">
            <v>1</v>
          </cell>
          <cell r="AC111">
            <v>1</v>
          </cell>
          <cell r="AD111">
            <v>1</v>
          </cell>
          <cell r="AE111">
            <v>1</v>
          </cell>
          <cell r="AF111">
            <v>1</v>
          </cell>
          <cell r="AG111">
            <v>1</v>
          </cell>
          <cell r="AH111">
            <v>1</v>
          </cell>
          <cell r="AI111">
            <v>1</v>
          </cell>
          <cell r="AJ111">
            <v>1</v>
          </cell>
          <cell r="AK111">
            <v>1</v>
          </cell>
          <cell r="AL111">
            <v>1</v>
          </cell>
          <cell r="AN111">
            <v>10522.730514724712</v>
          </cell>
          <cell r="AO111">
            <v>10522.730514724712</v>
          </cell>
          <cell r="AP111">
            <v>10522.730514724712</v>
          </cell>
          <cell r="AQ111">
            <v>10522.730514724712</v>
          </cell>
          <cell r="AR111">
            <v>10522.730514724712</v>
          </cell>
          <cell r="AS111">
            <v>10522.730514724712</v>
          </cell>
          <cell r="AT111">
            <v>10522.730514724712</v>
          </cell>
          <cell r="AU111">
            <v>10522.730514724712</v>
          </cell>
          <cell r="AV111">
            <v>10522.730514724712</v>
          </cell>
          <cell r="AW111">
            <v>10522.730514724712</v>
          </cell>
          <cell r="AX111">
            <v>10522.730514724712</v>
          </cell>
          <cell r="AY111">
            <v>10522.730514724712</v>
          </cell>
        </row>
        <row r="112">
          <cell r="A112" t="str">
            <v>EVOGENE</v>
          </cell>
          <cell r="B112"/>
          <cell r="C112" t="str">
            <v>SOW</v>
          </cell>
          <cell r="D112" t="str">
            <v>Platform</v>
          </cell>
          <cell r="E112" t="str">
            <v>IMS</v>
          </cell>
          <cell r="F112">
            <v>308908805</v>
          </cell>
          <cell r="G112" t="str">
            <v>Asia Roychman</v>
          </cell>
          <cell r="H112">
            <v>1</v>
          </cell>
          <cell r="I112">
            <v>12500</v>
          </cell>
          <cell r="J112">
            <v>0</v>
          </cell>
          <cell r="K112">
            <v>12500</v>
          </cell>
          <cell r="L112">
            <v>813</v>
          </cell>
          <cell r="M112">
            <v>263.16000000000003</v>
          </cell>
          <cell r="N112">
            <v>189</v>
          </cell>
          <cell r="O112">
            <v>236.74242424242422</v>
          </cell>
          <cell r="P112">
            <v>0</v>
          </cell>
          <cell r="Q112">
            <v>812.5</v>
          </cell>
          <cell r="R112">
            <v>820.18368181818187</v>
          </cell>
          <cell r="S112">
            <v>1041.6666666666665</v>
          </cell>
          <cell r="T112">
            <v>937.5</v>
          </cell>
          <cell r="U112">
            <v>71.25</v>
          </cell>
          <cell r="V112">
            <v>598.95833333333326</v>
          </cell>
          <cell r="W112">
            <v>0</v>
          </cell>
          <cell r="X112">
            <v>0</v>
          </cell>
          <cell r="Y112">
            <v>18283.961106060604</v>
          </cell>
          <cell r="AA112">
            <v>1</v>
          </cell>
          <cell r="AB112">
            <v>1</v>
          </cell>
          <cell r="AC112">
            <v>1</v>
          </cell>
          <cell r="AD112">
            <v>1</v>
          </cell>
          <cell r="AE112">
            <v>1</v>
          </cell>
          <cell r="AF112">
            <v>1</v>
          </cell>
          <cell r="AG112">
            <v>1</v>
          </cell>
          <cell r="AH112">
            <v>1</v>
          </cell>
          <cell r="AI112">
            <v>1</v>
          </cell>
          <cell r="AJ112">
            <v>1</v>
          </cell>
          <cell r="AK112">
            <v>1</v>
          </cell>
          <cell r="AL112">
            <v>1</v>
          </cell>
          <cell r="AN112">
            <v>5150.4115791720014</v>
          </cell>
          <cell r="AO112">
            <v>5150.4115791720014</v>
          </cell>
          <cell r="AP112">
            <v>5150.4115791720014</v>
          </cell>
          <cell r="AQ112">
            <v>5150.4115791720014</v>
          </cell>
          <cell r="AR112">
            <v>5150.4115791720014</v>
          </cell>
          <cell r="AS112">
            <v>5150.4115791720014</v>
          </cell>
          <cell r="AT112">
            <v>5150.4115791720014</v>
          </cell>
          <cell r="AU112">
            <v>5150.4115791720014</v>
          </cell>
          <cell r="AV112">
            <v>5150.4115791720014</v>
          </cell>
          <cell r="AW112">
            <v>5150.4115791720014</v>
          </cell>
          <cell r="AX112">
            <v>5150.4115791720014</v>
          </cell>
          <cell r="AY112">
            <v>5150.4115791720014</v>
          </cell>
        </row>
        <row r="113">
          <cell r="A113" t="str">
            <v>EVOGENE</v>
          </cell>
          <cell r="B113"/>
          <cell r="C113" t="str">
            <v>SOW</v>
          </cell>
          <cell r="D113" t="str">
            <v>Platform</v>
          </cell>
          <cell r="E113" t="str">
            <v>IMS</v>
          </cell>
          <cell r="F113">
            <v>302728159</v>
          </cell>
          <cell r="G113" t="str">
            <v>Rave Viner</v>
          </cell>
          <cell r="H113">
            <v>1</v>
          </cell>
          <cell r="I113">
            <v>20000</v>
          </cell>
          <cell r="J113">
            <v>0</v>
          </cell>
          <cell r="K113">
            <v>12500</v>
          </cell>
          <cell r="L113">
            <v>813</v>
          </cell>
          <cell r="M113">
            <v>263.16000000000003</v>
          </cell>
          <cell r="N113">
            <v>189</v>
          </cell>
          <cell r="O113">
            <v>236.74242424242422</v>
          </cell>
          <cell r="P113">
            <v>0</v>
          </cell>
          <cell r="Q113">
            <v>812.5</v>
          </cell>
          <cell r="R113">
            <v>820.18368181818187</v>
          </cell>
          <cell r="S113">
            <v>1041.6666666666665</v>
          </cell>
          <cell r="T113">
            <v>937.5</v>
          </cell>
          <cell r="U113">
            <v>71.25</v>
          </cell>
          <cell r="V113">
            <v>598.95833333333326</v>
          </cell>
          <cell r="W113">
            <v>0</v>
          </cell>
          <cell r="X113">
            <v>0</v>
          </cell>
          <cell r="Y113">
            <v>18283.961106060604</v>
          </cell>
          <cell r="AA113">
            <v>1</v>
          </cell>
          <cell r="AB113">
            <v>1</v>
          </cell>
          <cell r="AC113">
            <v>1</v>
          </cell>
          <cell r="AD113">
            <v>1</v>
          </cell>
          <cell r="AE113">
            <v>1</v>
          </cell>
          <cell r="AF113">
            <v>1</v>
          </cell>
          <cell r="AG113">
            <v>1</v>
          </cell>
          <cell r="AH113">
            <v>1</v>
          </cell>
          <cell r="AI113">
            <v>1</v>
          </cell>
          <cell r="AJ113">
            <v>1</v>
          </cell>
          <cell r="AK113">
            <v>1</v>
          </cell>
          <cell r="AL113">
            <v>1</v>
          </cell>
          <cell r="AN113">
            <v>5150.4115791720014</v>
          </cell>
          <cell r="AO113">
            <v>5150.4115791720014</v>
          </cell>
          <cell r="AP113">
            <v>5150.4115791720014</v>
          </cell>
          <cell r="AQ113">
            <v>5150.4115791720014</v>
          </cell>
          <cell r="AR113">
            <v>5150.4115791720014</v>
          </cell>
          <cell r="AS113">
            <v>5150.4115791720014</v>
          </cell>
          <cell r="AT113">
            <v>5150.4115791720014</v>
          </cell>
          <cell r="AU113">
            <v>5150.4115791720014</v>
          </cell>
          <cell r="AV113">
            <v>5150.4115791720014</v>
          </cell>
          <cell r="AW113">
            <v>5150.4115791720014</v>
          </cell>
          <cell r="AX113">
            <v>5150.4115791720014</v>
          </cell>
          <cell r="AY113">
            <v>5150.4115791720014</v>
          </cell>
        </row>
        <row r="114">
          <cell r="A114"/>
          <cell r="B114"/>
          <cell r="D114"/>
          <cell r="I114"/>
          <cell r="J114"/>
          <cell r="K114"/>
          <cell r="L114"/>
          <cell r="M114"/>
          <cell r="N114"/>
          <cell r="O114"/>
          <cell r="P114"/>
          <cell r="Q114">
            <v>0</v>
          </cell>
          <cell r="R114"/>
          <cell r="S114">
            <v>0</v>
          </cell>
          <cell r="T114">
            <v>0</v>
          </cell>
          <cell r="U114">
            <v>0</v>
          </cell>
          <cell r="V114"/>
          <cell r="W114"/>
          <cell r="X114"/>
          <cell r="Y114" t="str">
            <v/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N114" t="str">
            <v/>
          </cell>
          <cell r="AO114" t="str">
            <v/>
          </cell>
          <cell r="AP114" t="str">
            <v/>
          </cell>
          <cell r="AQ114" t="str">
            <v/>
          </cell>
          <cell r="AR114" t="str">
            <v/>
          </cell>
          <cell r="AS114" t="str">
            <v/>
          </cell>
          <cell r="AT114" t="str">
            <v/>
          </cell>
          <cell r="AU114" t="str">
            <v/>
          </cell>
          <cell r="AV114" t="str">
            <v/>
          </cell>
          <cell r="AW114" t="str">
            <v/>
          </cell>
          <cell r="AX114" t="str">
            <v/>
          </cell>
          <cell r="AY114" t="str">
            <v/>
          </cell>
        </row>
        <row r="115">
          <cell r="A115" t="str">
            <v>EVOGENE</v>
          </cell>
          <cell r="B115"/>
          <cell r="C115" t="str">
            <v>SOW</v>
          </cell>
          <cell r="D115" t="str">
            <v>Platform</v>
          </cell>
          <cell r="E115" t="str">
            <v>DevOps</v>
          </cell>
          <cell r="F115">
            <v>33116989</v>
          </cell>
          <cell r="G115" t="str">
            <v>Lior  Meiri - TBR</v>
          </cell>
          <cell r="H115">
            <v>1</v>
          </cell>
          <cell r="I115">
            <v>20000</v>
          </cell>
          <cell r="J115">
            <v>0</v>
          </cell>
          <cell r="K115">
            <v>20000</v>
          </cell>
          <cell r="L115">
            <v>813</v>
          </cell>
          <cell r="M115">
            <v>877.2</v>
          </cell>
          <cell r="N115">
            <v>157.5</v>
          </cell>
          <cell r="O115">
            <v>378.78787878787881</v>
          </cell>
          <cell r="P115">
            <v>0</v>
          </cell>
          <cell r="Q115">
            <v>1300</v>
          </cell>
          <cell r="R115">
            <v>1437.027590909091</v>
          </cell>
          <cell r="S115">
            <v>1666.6666666666665</v>
          </cell>
          <cell r="T115">
            <v>1500</v>
          </cell>
          <cell r="U115">
            <v>114</v>
          </cell>
          <cell r="V115">
            <v>958.33333333333337</v>
          </cell>
          <cell r="W115">
            <v>0</v>
          </cell>
          <cell r="X115">
            <v>0</v>
          </cell>
          <cell r="Y115">
            <v>29202.515469696973</v>
          </cell>
          <cell r="AA115">
            <v>1</v>
          </cell>
          <cell r="AB115">
            <v>1</v>
          </cell>
          <cell r="AC115">
            <v>1</v>
          </cell>
          <cell r="AD115">
            <v>1</v>
          </cell>
          <cell r="AE115">
            <v>1</v>
          </cell>
          <cell r="AF115">
            <v>1</v>
          </cell>
          <cell r="AG115">
            <v>1</v>
          </cell>
          <cell r="AH115">
            <v>1</v>
          </cell>
          <cell r="AI115">
            <v>1</v>
          </cell>
          <cell r="AJ115">
            <v>1</v>
          </cell>
          <cell r="AK115">
            <v>1</v>
          </cell>
          <cell r="AL115">
            <v>1</v>
          </cell>
          <cell r="AN115">
            <v>8226.060695689288</v>
          </cell>
          <cell r="AO115">
            <v>8226.060695689288</v>
          </cell>
          <cell r="AP115">
            <v>8226.060695689288</v>
          </cell>
          <cell r="AQ115">
            <v>8226.060695689288</v>
          </cell>
          <cell r="AR115">
            <v>8226.060695689288</v>
          </cell>
          <cell r="AS115">
            <v>8226.060695689288</v>
          </cell>
          <cell r="AT115">
            <v>8226.060695689288</v>
          </cell>
          <cell r="AU115">
            <v>8226.060695689288</v>
          </cell>
          <cell r="AV115">
            <v>8226.060695689288</v>
          </cell>
          <cell r="AW115">
            <v>8226.060695689288</v>
          </cell>
          <cell r="AX115">
            <v>8226.060695689288</v>
          </cell>
          <cell r="AY115">
            <v>8226.060695689288</v>
          </cell>
        </row>
        <row r="116">
          <cell r="A116" t="str">
            <v>EVOGENE</v>
          </cell>
          <cell r="B116"/>
          <cell r="C116" t="str">
            <v>SOW</v>
          </cell>
          <cell r="D116" t="str">
            <v>Platform</v>
          </cell>
          <cell r="E116" t="str">
            <v>DevOps</v>
          </cell>
          <cell r="F116">
            <v>33116989</v>
          </cell>
          <cell r="G116" t="str">
            <v>Team Leader - TBR</v>
          </cell>
          <cell r="H116">
            <v>1</v>
          </cell>
          <cell r="I116">
            <v>30000</v>
          </cell>
          <cell r="J116">
            <v>0</v>
          </cell>
          <cell r="K116">
            <v>30000</v>
          </cell>
          <cell r="L116">
            <v>813</v>
          </cell>
          <cell r="M116">
            <v>877.2</v>
          </cell>
          <cell r="N116">
            <v>157.5</v>
          </cell>
          <cell r="O116">
            <v>568.18181818181824</v>
          </cell>
          <cell r="P116">
            <v>0</v>
          </cell>
          <cell r="Q116">
            <v>1950</v>
          </cell>
          <cell r="R116">
            <v>2201.2321363636365</v>
          </cell>
          <cell r="S116">
            <v>2500</v>
          </cell>
          <cell r="T116">
            <v>2250</v>
          </cell>
          <cell r="U116">
            <v>171</v>
          </cell>
          <cell r="V116">
            <v>1437.5</v>
          </cell>
          <cell r="W116">
            <v>0</v>
          </cell>
          <cell r="X116">
            <v>0</v>
          </cell>
          <cell r="Y116">
            <v>42925.613954545457</v>
          </cell>
          <cell r="AA116">
            <v>1</v>
          </cell>
          <cell r="AB116">
            <v>1</v>
          </cell>
          <cell r="AC116">
            <v>1</v>
          </cell>
          <cell r="AD116">
            <v>1</v>
          </cell>
          <cell r="AE116">
            <v>1</v>
          </cell>
          <cell r="AF116">
            <v>1</v>
          </cell>
          <cell r="AG116">
            <v>1</v>
          </cell>
          <cell r="AH116">
            <v>1</v>
          </cell>
          <cell r="AI116">
            <v>1</v>
          </cell>
          <cell r="AJ116">
            <v>1</v>
          </cell>
          <cell r="AK116">
            <v>1</v>
          </cell>
          <cell r="AL116">
            <v>1</v>
          </cell>
          <cell r="AN116">
            <v>12091.72224071703</v>
          </cell>
          <cell r="AO116">
            <v>12091.72224071703</v>
          </cell>
          <cell r="AP116">
            <v>12091.72224071703</v>
          </cell>
          <cell r="AQ116">
            <v>12091.72224071703</v>
          </cell>
          <cell r="AR116">
            <v>12091.72224071703</v>
          </cell>
          <cell r="AS116">
            <v>12091.72224071703</v>
          </cell>
          <cell r="AT116">
            <v>12091.72224071703</v>
          </cell>
          <cell r="AU116">
            <v>12091.72224071703</v>
          </cell>
          <cell r="AV116">
            <v>12091.72224071703</v>
          </cell>
          <cell r="AW116">
            <v>12091.72224071703</v>
          </cell>
          <cell r="AX116">
            <v>12091.72224071703</v>
          </cell>
          <cell r="AY116">
            <v>12091.72224071703</v>
          </cell>
        </row>
        <row r="117">
          <cell r="A117" t="str">
            <v>EVOGENE</v>
          </cell>
          <cell r="B117"/>
          <cell r="C117" t="str">
            <v>SOW</v>
          </cell>
          <cell r="D117" t="str">
            <v>Platform</v>
          </cell>
          <cell r="E117" t="str">
            <v>DevOps</v>
          </cell>
          <cell r="G117" t="str">
            <v>Shanny Abadi</v>
          </cell>
          <cell r="H117">
            <v>1</v>
          </cell>
          <cell r="I117">
            <v>23000</v>
          </cell>
          <cell r="J117"/>
          <cell r="K117">
            <v>23000</v>
          </cell>
          <cell r="L117">
            <v>813</v>
          </cell>
          <cell r="M117">
            <v>877.2</v>
          </cell>
          <cell r="N117">
            <v>157.5</v>
          </cell>
          <cell r="O117">
            <v>435.60606060606068</v>
          </cell>
          <cell r="P117"/>
          <cell r="Q117">
            <v>1495</v>
          </cell>
          <cell r="R117">
            <v>1666.2889545454545</v>
          </cell>
          <cell r="S117">
            <v>1916.6666666666665</v>
          </cell>
          <cell r="T117">
            <v>1725</v>
          </cell>
          <cell r="U117">
            <v>131.1</v>
          </cell>
          <cell r="V117">
            <v>1102.0833333333333</v>
          </cell>
          <cell r="W117"/>
          <cell r="X117"/>
          <cell r="Y117">
            <v>33319.445015151512</v>
          </cell>
          <cell r="AA117">
            <v>1</v>
          </cell>
          <cell r="AB117">
            <v>1</v>
          </cell>
          <cell r="AC117">
            <v>1</v>
          </cell>
          <cell r="AD117">
            <v>1</v>
          </cell>
          <cell r="AE117">
            <v>1</v>
          </cell>
          <cell r="AF117">
            <v>1</v>
          </cell>
          <cell r="AG117">
            <v>1</v>
          </cell>
          <cell r="AH117">
            <v>1</v>
          </cell>
          <cell r="AI117">
            <v>1</v>
          </cell>
          <cell r="AJ117">
            <v>1</v>
          </cell>
          <cell r="AK117">
            <v>1</v>
          </cell>
          <cell r="AL117">
            <v>1</v>
          </cell>
          <cell r="AN117">
            <v>9385.7591591976088</v>
          </cell>
          <cell r="AO117">
            <v>9385.7591591976088</v>
          </cell>
          <cell r="AP117">
            <v>9385.7591591976088</v>
          </cell>
          <cell r="AQ117">
            <v>9385.7591591976088</v>
          </cell>
          <cell r="AR117">
            <v>9385.7591591976088</v>
          </cell>
          <cell r="AS117">
            <v>9385.7591591976088</v>
          </cell>
          <cell r="AT117">
            <v>9385.7591591976088</v>
          </cell>
          <cell r="AU117">
            <v>9385.7591591976088</v>
          </cell>
          <cell r="AV117">
            <v>9385.7591591976088</v>
          </cell>
          <cell r="AW117">
            <v>9385.7591591976088</v>
          </cell>
          <cell r="AX117">
            <v>9385.7591591976088</v>
          </cell>
          <cell r="AY117">
            <v>9385.7591591976088</v>
          </cell>
        </row>
        <row r="118">
          <cell r="A118"/>
          <cell r="B118"/>
          <cell r="D118"/>
          <cell r="I118"/>
          <cell r="J118"/>
          <cell r="K118"/>
          <cell r="L118"/>
          <cell r="M118"/>
          <cell r="N118"/>
          <cell r="O118"/>
          <cell r="P118"/>
          <cell r="Q118">
            <v>0</v>
          </cell>
          <cell r="R118"/>
          <cell r="S118">
            <v>0</v>
          </cell>
          <cell r="T118">
            <v>0</v>
          </cell>
          <cell r="U118">
            <v>0</v>
          </cell>
          <cell r="V118"/>
          <cell r="W118"/>
          <cell r="X118"/>
          <cell r="Y118" t="str">
            <v/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N118" t="str">
            <v/>
          </cell>
          <cell r="AO118" t="str">
            <v/>
          </cell>
          <cell r="AP118" t="str">
            <v/>
          </cell>
          <cell r="AQ118" t="str">
            <v/>
          </cell>
          <cell r="AR118" t="str">
            <v/>
          </cell>
          <cell r="AS118" t="str">
            <v/>
          </cell>
          <cell r="AT118" t="str">
            <v/>
          </cell>
          <cell r="AU118" t="str">
            <v/>
          </cell>
          <cell r="AV118" t="str">
            <v/>
          </cell>
          <cell r="AW118" t="str">
            <v/>
          </cell>
          <cell r="AX118" t="str">
            <v/>
          </cell>
          <cell r="AY118" t="str">
            <v/>
          </cell>
        </row>
        <row r="119">
          <cell r="A119" t="str">
            <v>EVOGENE</v>
          </cell>
          <cell r="B119"/>
          <cell r="C119" t="str">
            <v>SOW</v>
          </cell>
          <cell r="D119" t="str">
            <v>Platform</v>
          </cell>
          <cell r="E119" t="str">
            <v>Plant Growth</v>
          </cell>
          <cell r="F119">
            <v>23899123</v>
          </cell>
          <cell r="G119" t="str">
            <v>Alon Bilu</v>
          </cell>
          <cell r="H119">
            <v>1</v>
          </cell>
          <cell r="I119">
            <v>17600</v>
          </cell>
          <cell r="J119">
            <v>0</v>
          </cell>
          <cell r="K119">
            <v>17600</v>
          </cell>
          <cell r="L119">
            <v>813</v>
          </cell>
          <cell r="M119">
            <v>0</v>
          </cell>
          <cell r="N119">
            <v>220.5</v>
          </cell>
          <cell r="O119">
            <v>333.33333333333331</v>
          </cell>
          <cell r="P119">
            <v>0</v>
          </cell>
          <cell r="Q119">
            <v>1144</v>
          </cell>
          <cell r="R119">
            <v>1192.5535</v>
          </cell>
          <cell r="S119">
            <v>1466.6666666666665</v>
          </cell>
          <cell r="T119">
            <v>1320</v>
          </cell>
          <cell r="U119">
            <v>100.32000000000001</v>
          </cell>
          <cell r="V119">
            <v>843.33333333333337</v>
          </cell>
          <cell r="W119">
            <v>2100.8182500000003</v>
          </cell>
          <cell r="X119">
            <v>1000</v>
          </cell>
          <cell r="Y119">
            <v>28134.52508333333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</row>
        <row r="120">
          <cell r="A120" t="str">
            <v>EVOGENE</v>
          </cell>
          <cell r="B120"/>
          <cell r="C120" t="str">
            <v>SOW</v>
          </cell>
          <cell r="D120" t="str">
            <v>Platform</v>
          </cell>
          <cell r="E120" t="str">
            <v>Plant Growth</v>
          </cell>
          <cell r="F120">
            <v>25183583</v>
          </cell>
          <cell r="G120" t="str">
            <v>Tomer Lando</v>
          </cell>
          <cell r="H120">
            <v>1</v>
          </cell>
          <cell r="I120">
            <v>9900</v>
          </cell>
          <cell r="J120">
            <v>0</v>
          </cell>
          <cell r="K120">
            <v>9900</v>
          </cell>
          <cell r="L120">
            <v>813</v>
          </cell>
          <cell r="M120">
            <v>0</v>
          </cell>
          <cell r="N120">
            <v>220.5</v>
          </cell>
          <cell r="O120">
            <v>187.5</v>
          </cell>
          <cell r="P120">
            <v>120</v>
          </cell>
          <cell r="Q120">
            <v>643.5</v>
          </cell>
          <cell r="R120">
            <v>613.11599999999999</v>
          </cell>
          <cell r="S120">
            <v>825</v>
          </cell>
          <cell r="T120">
            <v>742.5</v>
          </cell>
          <cell r="U120">
            <v>56.43</v>
          </cell>
          <cell r="V120">
            <v>474.375</v>
          </cell>
          <cell r="W120">
            <v>2787.357</v>
          </cell>
          <cell r="X120">
            <v>1600</v>
          </cell>
          <cell r="Y120">
            <v>18983.277999999998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</row>
        <row r="121">
          <cell r="A121" t="str">
            <v>EVOGENE</v>
          </cell>
          <cell r="B121"/>
          <cell r="C121" t="str">
            <v>SOW</v>
          </cell>
          <cell r="D121" t="str">
            <v>Platform</v>
          </cell>
          <cell r="E121" t="str">
            <v>Plant Growth</v>
          </cell>
          <cell r="F121">
            <v>33609751</v>
          </cell>
          <cell r="G121" t="str">
            <v>Oz Leser</v>
          </cell>
          <cell r="H121">
            <v>1</v>
          </cell>
          <cell r="I121">
            <v>8800</v>
          </cell>
          <cell r="J121">
            <v>0</v>
          </cell>
          <cell r="K121">
            <v>8800</v>
          </cell>
          <cell r="L121">
            <v>813</v>
          </cell>
          <cell r="M121">
            <v>647.04999999999995</v>
          </cell>
          <cell r="N121">
            <v>220.5</v>
          </cell>
          <cell r="O121">
            <v>166.66666666666666</v>
          </cell>
          <cell r="P121">
            <v>0</v>
          </cell>
          <cell r="Q121">
            <v>572</v>
          </cell>
          <cell r="R121">
            <v>568.58224999999993</v>
          </cell>
          <cell r="S121">
            <v>733.33333333333326</v>
          </cell>
          <cell r="T121">
            <v>660</v>
          </cell>
          <cell r="U121">
            <v>50.160000000000004</v>
          </cell>
          <cell r="V121">
            <v>421.66666666666669</v>
          </cell>
          <cell r="W121">
            <v>0</v>
          </cell>
          <cell r="X121">
            <v>0</v>
          </cell>
          <cell r="Y121">
            <v>13652.958916666665</v>
          </cell>
          <cell r="AA121">
            <v>1</v>
          </cell>
          <cell r="AB121">
            <v>1</v>
          </cell>
          <cell r="AC121">
            <v>1</v>
          </cell>
          <cell r="AD121">
            <v>1</v>
          </cell>
          <cell r="AE121">
            <v>1</v>
          </cell>
          <cell r="AF121">
            <v>1</v>
          </cell>
          <cell r="AG121">
            <v>1</v>
          </cell>
          <cell r="AH121">
            <v>1</v>
          </cell>
          <cell r="AI121">
            <v>1</v>
          </cell>
          <cell r="AJ121">
            <v>1</v>
          </cell>
          <cell r="AK121">
            <v>1</v>
          </cell>
          <cell r="AL121">
            <v>1</v>
          </cell>
          <cell r="AN121">
            <v>3845.9039201877931</v>
          </cell>
          <cell r="AO121">
            <v>3845.9039201877931</v>
          </cell>
          <cell r="AP121">
            <v>3845.9039201877931</v>
          </cell>
          <cell r="AQ121">
            <v>3845.9039201877931</v>
          </cell>
          <cell r="AR121">
            <v>3845.9039201877931</v>
          </cell>
          <cell r="AS121">
            <v>3845.9039201877931</v>
          </cell>
          <cell r="AT121">
            <v>3845.9039201877931</v>
          </cell>
          <cell r="AU121">
            <v>3845.9039201877931</v>
          </cell>
          <cell r="AV121">
            <v>3845.9039201877931</v>
          </cell>
          <cell r="AW121">
            <v>3845.9039201877931</v>
          </cell>
          <cell r="AX121">
            <v>3845.9039201877931</v>
          </cell>
          <cell r="AY121">
            <v>3845.9039201877931</v>
          </cell>
        </row>
        <row r="122">
          <cell r="A122" t="str">
            <v>EVOGENE</v>
          </cell>
          <cell r="B122"/>
          <cell r="C122" t="str">
            <v>SOW</v>
          </cell>
          <cell r="D122" t="str">
            <v>Platform</v>
          </cell>
          <cell r="E122" t="str">
            <v>Plant Growth</v>
          </cell>
          <cell r="F122">
            <v>34329235</v>
          </cell>
          <cell r="G122" t="str">
            <v>Ilan Liwski</v>
          </cell>
          <cell r="H122">
            <v>1</v>
          </cell>
          <cell r="I122">
            <v>15500</v>
          </cell>
          <cell r="J122">
            <v>0</v>
          </cell>
          <cell r="K122">
            <v>15500</v>
          </cell>
          <cell r="L122">
            <v>813</v>
          </cell>
          <cell r="M122">
            <v>877.19</v>
          </cell>
          <cell r="N122">
            <v>189</v>
          </cell>
          <cell r="O122">
            <v>293.56060606060606</v>
          </cell>
          <cell r="P122">
            <v>0</v>
          </cell>
          <cell r="Q122">
            <v>1007.5</v>
          </cell>
          <cell r="R122">
            <v>1095.4972954545456</v>
          </cell>
          <cell r="S122">
            <v>1291.6666666666665</v>
          </cell>
          <cell r="T122">
            <v>1162.5</v>
          </cell>
          <cell r="U122">
            <v>88.350000000000009</v>
          </cell>
          <cell r="V122">
            <v>742.70833333333337</v>
          </cell>
          <cell r="W122">
            <v>0</v>
          </cell>
          <cell r="X122">
            <v>0</v>
          </cell>
          <cell r="Y122">
            <v>23060.97290151515</v>
          </cell>
          <cell r="AA122">
            <v>1</v>
          </cell>
          <cell r="AB122">
            <v>1</v>
          </cell>
          <cell r="AC122">
            <v>1</v>
          </cell>
          <cell r="AD122">
            <v>1</v>
          </cell>
          <cell r="AE122">
            <v>1</v>
          </cell>
          <cell r="AF122">
            <v>1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N122">
            <v>6496.0487046521548</v>
          </cell>
          <cell r="AO122">
            <v>6496.0487046521548</v>
          </cell>
          <cell r="AP122">
            <v>6496.0487046521548</v>
          </cell>
          <cell r="AQ122">
            <v>6496.0487046521548</v>
          </cell>
          <cell r="AR122">
            <v>6496.0487046521548</v>
          </cell>
          <cell r="AS122">
            <v>6496.0487046521548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</row>
        <row r="123">
          <cell r="A123" t="str">
            <v>EVOGENE</v>
          </cell>
          <cell r="B123"/>
          <cell r="C123" t="str">
            <v>SOW</v>
          </cell>
          <cell r="D123" t="str">
            <v>Platform</v>
          </cell>
          <cell r="E123" t="str">
            <v>Plant Growth</v>
          </cell>
          <cell r="F123">
            <v>36233377</v>
          </cell>
          <cell r="G123" t="str">
            <v>Idan harary</v>
          </cell>
          <cell r="H123">
            <v>1</v>
          </cell>
          <cell r="I123">
            <v>12800</v>
          </cell>
          <cell r="J123">
            <v>0</v>
          </cell>
          <cell r="K123">
            <v>12800</v>
          </cell>
          <cell r="L123">
            <v>813</v>
          </cell>
          <cell r="M123">
            <v>0</v>
          </cell>
          <cell r="N123">
            <v>220.5</v>
          </cell>
          <cell r="O123">
            <v>242.42424242424246</v>
          </cell>
          <cell r="P123">
            <v>0</v>
          </cell>
          <cell r="Q123">
            <v>832</v>
          </cell>
          <cell r="R123">
            <v>825.73531818181823</v>
          </cell>
          <cell r="S123">
            <v>1066.6666666666665</v>
          </cell>
          <cell r="T123">
            <v>960</v>
          </cell>
          <cell r="U123">
            <v>72.960000000000008</v>
          </cell>
          <cell r="V123">
            <v>613.33333333333326</v>
          </cell>
          <cell r="W123">
            <v>2921.173875</v>
          </cell>
          <cell r="X123">
            <v>2450</v>
          </cell>
          <cell r="Y123">
            <v>23817.793435606058</v>
          </cell>
          <cell r="AA123">
            <v>1</v>
          </cell>
          <cell r="AB123">
            <v>1</v>
          </cell>
          <cell r="AC123">
            <v>1</v>
          </cell>
          <cell r="AD123">
            <v>1</v>
          </cell>
          <cell r="AE123">
            <v>1</v>
          </cell>
          <cell r="AF123">
            <v>1</v>
          </cell>
          <cell r="AG123">
            <v>1</v>
          </cell>
          <cell r="AH123">
            <v>1</v>
          </cell>
          <cell r="AI123">
            <v>1</v>
          </cell>
          <cell r="AJ123">
            <v>1</v>
          </cell>
          <cell r="AK123">
            <v>1</v>
          </cell>
          <cell r="AL123">
            <v>1</v>
          </cell>
          <cell r="AN123">
            <v>6709.2375874946647</v>
          </cell>
          <cell r="AO123">
            <v>6709.2375874946647</v>
          </cell>
          <cell r="AP123">
            <v>6709.2375874946647</v>
          </cell>
          <cell r="AQ123">
            <v>6709.2375874946647</v>
          </cell>
          <cell r="AR123">
            <v>6709.2375874946647</v>
          </cell>
          <cell r="AS123">
            <v>6709.2375874946647</v>
          </cell>
          <cell r="AT123">
            <v>6709.2375874946647</v>
          </cell>
          <cell r="AU123">
            <v>6709.2375874946647</v>
          </cell>
          <cell r="AV123">
            <v>6709.2375874946647</v>
          </cell>
          <cell r="AW123">
            <v>6709.2375874946647</v>
          </cell>
          <cell r="AX123">
            <v>6709.2375874946647</v>
          </cell>
          <cell r="AY123">
            <v>6709.2375874946647</v>
          </cell>
        </row>
        <row r="124">
          <cell r="A124" t="str">
            <v>EVOGENE</v>
          </cell>
          <cell r="B124"/>
          <cell r="C124" t="str">
            <v>SOW</v>
          </cell>
          <cell r="D124" t="str">
            <v>Platform</v>
          </cell>
          <cell r="E124" t="str">
            <v>Plant Growth</v>
          </cell>
          <cell r="F124">
            <v>38584769</v>
          </cell>
          <cell r="G124" t="str">
            <v>Reuven</v>
          </cell>
          <cell r="H124">
            <v>1</v>
          </cell>
          <cell r="I124">
            <v>12750</v>
          </cell>
          <cell r="J124">
            <v>0</v>
          </cell>
          <cell r="K124">
            <v>12750</v>
          </cell>
          <cell r="L124">
            <v>813</v>
          </cell>
          <cell r="M124">
            <v>505.26</v>
          </cell>
          <cell r="N124">
            <v>220.5</v>
          </cell>
          <cell r="O124">
            <v>241.47727272727272</v>
          </cell>
          <cell r="P124">
            <v>0</v>
          </cell>
          <cell r="Q124">
            <v>828.75</v>
          </cell>
          <cell r="R124">
            <v>859.80879545454536</v>
          </cell>
          <cell r="S124">
            <v>1062.5</v>
          </cell>
          <cell r="T124">
            <v>956.25</v>
          </cell>
          <cell r="U124">
            <v>72.674999999999997</v>
          </cell>
          <cell r="V124">
            <v>610.93749999999989</v>
          </cell>
          <cell r="W124">
            <v>0</v>
          </cell>
          <cell r="X124">
            <v>0</v>
          </cell>
          <cell r="Y124">
            <v>18921.158568181818</v>
          </cell>
          <cell r="AA124">
            <v>1</v>
          </cell>
          <cell r="AB124">
            <v>1</v>
          </cell>
          <cell r="AC124">
            <v>1</v>
          </cell>
          <cell r="AD124">
            <v>1</v>
          </cell>
          <cell r="AE124">
            <v>1</v>
          </cell>
          <cell r="AF124">
            <v>1</v>
          </cell>
          <cell r="AG124">
            <v>1</v>
          </cell>
          <cell r="AH124">
            <v>1</v>
          </cell>
          <cell r="AI124">
            <v>1</v>
          </cell>
          <cell r="AJ124">
            <v>1</v>
          </cell>
          <cell r="AK124">
            <v>1</v>
          </cell>
          <cell r="AL124">
            <v>1</v>
          </cell>
          <cell r="AN124">
            <v>5329.9038220230477</v>
          </cell>
          <cell r="AO124">
            <v>5329.9038220230477</v>
          </cell>
          <cell r="AP124">
            <v>5329.9038220230477</v>
          </cell>
          <cell r="AQ124">
            <v>5329.9038220230477</v>
          </cell>
          <cell r="AR124">
            <v>5329.9038220230477</v>
          </cell>
          <cell r="AS124">
            <v>5329.9038220230477</v>
          </cell>
          <cell r="AT124">
            <v>5329.9038220230477</v>
          </cell>
          <cell r="AU124">
            <v>5329.9038220230477</v>
          </cell>
          <cell r="AV124">
            <v>5329.9038220230477</v>
          </cell>
          <cell r="AW124">
            <v>5329.9038220230477</v>
          </cell>
          <cell r="AX124">
            <v>5329.9038220230477</v>
          </cell>
          <cell r="AY124">
            <v>5329.9038220230477</v>
          </cell>
        </row>
        <row r="125">
          <cell r="A125" t="str">
            <v>EVOGENE</v>
          </cell>
          <cell r="B125"/>
          <cell r="C125" t="str">
            <v>SOW</v>
          </cell>
          <cell r="D125" t="str">
            <v>Platform</v>
          </cell>
          <cell r="E125" t="str">
            <v>Plant Growth</v>
          </cell>
          <cell r="F125">
            <v>61235321</v>
          </cell>
          <cell r="G125" t="str">
            <v>Adam Rechtman</v>
          </cell>
          <cell r="H125">
            <v>1</v>
          </cell>
          <cell r="I125">
            <v>10000</v>
          </cell>
          <cell r="J125">
            <v>0</v>
          </cell>
          <cell r="K125">
            <v>10000</v>
          </cell>
          <cell r="L125">
            <v>813</v>
          </cell>
          <cell r="M125">
            <v>647.04999999999995</v>
          </cell>
          <cell r="N125">
            <v>220.5</v>
          </cell>
          <cell r="O125">
            <v>189.39393939393941</v>
          </cell>
          <cell r="P125">
            <v>0</v>
          </cell>
          <cell r="Q125">
            <v>650</v>
          </cell>
          <cell r="R125">
            <v>660.28679545454543</v>
          </cell>
          <cell r="S125">
            <v>833.33333333333326</v>
          </cell>
          <cell r="T125">
            <v>750</v>
          </cell>
          <cell r="U125">
            <v>57</v>
          </cell>
          <cell r="V125">
            <v>479.16666666666669</v>
          </cell>
          <cell r="W125">
            <v>0</v>
          </cell>
          <cell r="X125">
            <v>0</v>
          </cell>
          <cell r="Y125">
            <v>15299.730734848485</v>
          </cell>
          <cell r="AA125">
            <v>1</v>
          </cell>
          <cell r="AB125">
            <v>1</v>
          </cell>
          <cell r="AC125">
            <v>1</v>
          </cell>
          <cell r="AD125">
            <v>1</v>
          </cell>
          <cell r="AE125">
            <v>1</v>
          </cell>
          <cell r="AF125">
            <v>1</v>
          </cell>
          <cell r="AG125">
            <v>1</v>
          </cell>
          <cell r="AH125">
            <v>1</v>
          </cell>
          <cell r="AI125">
            <v>1</v>
          </cell>
          <cell r="AJ125">
            <v>1</v>
          </cell>
          <cell r="AK125">
            <v>1</v>
          </cell>
          <cell r="AL125">
            <v>1</v>
          </cell>
          <cell r="AN125">
            <v>4309.7833055911224</v>
          </cell>
          <cell r="AO125">
            <v>4309.7833055911224</v>
          </cell>
          <cell r="AP125">
            <v>4309.7833055911224</v>
          </cell>
          <cell r="AQ125">
            <v>4309.7833055911224</v>
          </cell>
          <cell r="AR125">
            <v>4309.7833055911224</v>
          </cell>
          <cell r="AS125">
            <v>4309.7833055911224</v>
          </cell>
          <cell r="AT125">
            <v>4309.7833055911224</v>
          </cell>
          <cell r="AU125">
            <v>4309.7833055911224</v>
          </cell>
          <cell r="AV125">
            <v>4309.7833055911224</v>
          </cell>
          <cell r="AW125">
            <v>4309.7833055911224</v>
          </cell>
          <cell r="AX125">
            <v>4309.7833055911224</v>
          </cell>
          <cell r="AY125">
            <v>4309.7833055911224</v>
          </cell>
        </row>
        <row r="126">
          <cell r="A126" t="str">
            <v>EVOGENE</v>
          </cell>
          <cell r="B126"/>
          <cell r="C126" t="str">
            <v>SOW</v>
          </cell>
          <cell r="D126" t="str">
            <v>Platform</v>
          </cell>
          <cell r="E126" t="str">
            <v>Plant Growth</v>
          </cell>
          <cell r="F126">
            <v>66022880</v>
          </cell>
          <cell r="G126" t="str">
            <v>Binyamin Yoshpe</v>
          </cell>
          <cell r="H126">
            <v>1</v>
          </cell>
          <cell r="I126">
            <v>7250</v>
          </cell>
          <cell r="J126">
            <v>0</v>
          </cell>
          <cell r="K126">
            <v>7250</v>
          </cell>
          <cell r="L126">
            <v>813</v>
          </cell>
          <cell r="M126">
            <v>647.04999999999995</v>
          </cell>
          <cell r="N126">
            <v>189</v>
          </cell>
          <cell r="O126">
            <v>137.31060606060606</v>
          </cell>
          <cell r="P126">
            <v>0</v>
          </cell>
          <cell r="Q126">
            <v>471.25</v>
          </cell>
          <cell r="R126">
            <v>447.76804545454542</v>
          </cell>
          <cell r="S126">
            <v>604.16666666666663</v>
          </cell>
          <cell r="T126">
            <v>543.75</v>
          </cell>
          <cell r="U126">
            <v>41.325000000000003</v>
          </cell>
          <cell r="V126">
            <v>347.39583333333331</v>
          </cell>
          <cell r="W126">
            <v>0</v>
          </cell>
          <cell r="X126">
            <v>0</v>
          </cell>
          <cell r="Y126">
            <v>11492.016151515152</v>
          </cell>
          <cell r="AA126">
            <v>1</v>
          </cell>
          <cell r="AB126">
            <v>1</v>
          </cell>
          <cell r="AC126">
            <v>1</v>
          </cell>
          <cell r="AD126">
            <v>1</v>
          </cell>
          <cell r="AE126">
            <v>1</v>
          </cell>
          <cell r="AF126">
            <v>1</v>
          </cell>
          <cell r="AG126">
            <v>1</v>
          </cell>
          <cell r="AH126">
            <v>1</v>
          </cell>
          <cell r="AI126">
            <v>1</v>
          </cell>
          <cell r="AJ126">
            <v>1</v>
          </cell>
          <cell r="AK126">
            <v>1</v>
          </cell>
          <cell r="AL126">
            <v>1</v>
          </cell>
          <cell r="AN126">
            <v>3237.1876483141277</v>
          </cell>
          <cell r="AO126">
            <v>3237.1876483141277</v>
          </cell>
          <cell r="AP126">
            <v>3237.1876483141277</v>
          </cell>
          <cell r="AQ126">
            <v>3237.1876483141277</v>
          </cell>
          <cell r="AR126">
            <v>3237.1876483141277</v>
          </cell>
          <cell r="AS126">
            <v>3237.1876483141277</v>
          </cell>
          <cell r="AT126">
            <v>3237.1876483141277</v>
          </cell>
          <cell r="AU126">
            <v>3237.1876483141277</v>
          </cell>
          <cell r="AV126">
            <v>3237.1876483141277</v>
          </cell>
          <cell r="AW126">
            <v>3237.1876483141277</v>
          </cell>
          <cell r="AX126">
            <v>3237.1876483141277</v>
          </cell>
          <cell r="AY126">
            <v>3237.1876483141277</v>
          </cell>
        </row>
        <row r="127">
          <cell r="A127" t="str">
            <v>EVOGENE</v>
          </cell>
          <cell r="B127"/>
          <cell r="C127" t="str">
            <v>SOW</v>
          </cell>
          <cell r="D127" t="str">
            <v>Platform</v>
          </cell>
          <cell r="E127" t="str">
            <v>Plant Growth</v>
          </cell>
          <cell r="F127">
            <v>307062778</v>
          </cell>
          <cell r="G127" t="str">
            <v>Ludmila Larkin</v>
          </cell>
          <cell r="H127">
            <v>1</v>
          </cell>
          <cell r="I127">
            <v>9800</v>
          </cell>
          <cell r="J127">
            <v>0</v>
          </cell>
          <cell r="K127">
            <v>9800</v>
          </cell>
          <cell r="L127">
            <v>813</v>
          </cell>
          <cell r="M127">
            <v>735.3</v>
          </cell>
          <cell r="N127">
            <v>220.5</v>
          </cell>
          <cell r="O127">
            <v>185.60606060606059</v>
          </cell>
          <cell r="P127">
            <v>0</v>
          </cell>
          <cell r="Q127">
            <v>637</v>
          </cell>
          <cell r="R127">
            <v>651.62145454545453</v>
          </cell>
          <cell r="S127">
            <v>816.66666666666663</v>
          </cell>
          <cell r="T127">
            <v>735</v>
          </cell>
          <cell r="U127">
            <v>55.86</v>
          </cell>
          <cell r="V127">
            <v>469.58333333333331</v>
          </cell>
          <cell r="W127">
            <v>0</v>
          </cell>
          <cell r="X127">
            <v>0</v>
          </cell>
          <cell r="Y127">
            <v>15120.137515151515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</row>
        <row r="128">
          <cell r="A128" t="str">
            <v>EVOGENE</v>
          </cell>
          <cell r="B128"/>
          <cell r="C128" t="str">
            <v>SOW</v>
          </cell>
          <cell r="D128" t="str">
            <v>Platform</v>
          </cell>
          <cell r="E128" t="str">
            <v>Plant Growth</v>
          </cell>
          <cell r="F128">
            <v>307062802</v>
          </cell>
          <cell r="G128" t="str">
            <v>Maria Larkin</v>
          </cell>
          <cell r="H128">
            <v>1</v>
          </cell>
          <cell r="I128">
            <v>6500</v>
          </cell>
          <cell r="J128">
            <v>0</v>
          </cell>
          <cell r="K128">
            <v>6500</v>
          </cell>
          <cell r="L128">
            <v>813</v>
          </cell>
          <cell r="M128">
            <v>568.17999999999995</v>
          </cell>
          <cell r="N128">
            <v>189</v>
          </cell>
          <cell r="O128">
            <v>123.10606060606061</v>
          </cell>
          <cell r="P128">
            <v>0</v>
          </cell>
          <cell r="Q128">
            <v>422.5</v>
          </cell>
          <cell r="R128">
            <v>384.53745454545458</v>
          </cell>
          <cell r="S128">
            <v>541.66666666666663</v>
          </cell>
          <cell r="T128">
            <v>487.5</v>
          </cell>
          <cell r="U128">
            <v>37.050000000000004</v>
          </cell>
          <cell r="V128">
            <v>311.45833333333331</v>
          </cell>
          <cell r="W128">
            <v>0</v>
          </cell>
          <cell r="X128">
            <v>0</v>
          </cell>
          <cell r="Y128">
            <v>10377.998515151514</v>
          </cell>
          <cell r="AA128">
            <v>1</v>
          </cell>
          <cell r="AB128">
            <v>1</v>
          </cell>
          <cell r="AC128">
            <v>0.25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1</v>
          </cell>
          <cell r="AL128">
            <v>1</v>
          </cell>
          <cell r="AN128">
            <v>2923.379863422962</v>
          </cell>
          <cell r="AO128">
            <v>2923.379863422962</v>
          </cell>
          <cell r="AP128">
            <v>730.8449658557405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2923.379863422962</v>
          </cell>
          <cell r="AY128">
            <v>2923.379863422962</v>
          </cell>
        </row>
        <row r="129">
          <cell r="A129" t="str">
            <v>EVOGENE</v>
          </cell>
          <cell r="B129"/>
          <cell r="C129" t="str">
            <v>SOW</v>
          </cell>
          <cell r="D129" t="str">
            <v>Platform</v>
          </cell>
          <cell r="E129" t="str">
            <v>Plant Growth</v>
          </cell>
          <cell r="F129">
            <v>309320430</v>
          </cell>
          <cell r="G129" t="str">
            <v>Ester Reidler</v>
          </cell>
          <cell r="H129">
            <v>1</v>
          </cell>
          <cell r="I129">
            <v>8000</v>
          </cell>
          <cell r="J129">
            <v>0</v>
          </cell>
          <cell r="K129">
            <v>8000</v>
          </cell>
          <cell r="L129">
            <v>813</v>
          </cell>
          <cell r="M129">
            <v>568.17999999999995</v>
          </cell>
          <cell r="N129">
            <v>220.5</v>
          </cell>
          <cell r="O129">
            <v>151.5151515151515</v>
          </cell>
          <cell r="P129">
            <v>0</v>
          </cell>
          <cell r="Q129">
            <v>520</v>
          </cell>
          <cell r="R129">
            <v>501.5306363636364</v>
          </cell>
          <cell r="S129">
            <v>666.66666666666663</v>
          </cell>
          <cell r="T129">
            <v>600</v>
          </cell>
          <cell r="U129">
            <v>45.6</v>
          </cell>
          <cell r="V129">
            <v>383.33333333333331</v>
          </cell>
          <cell r="W129">
            <v>0</v>
          </cell>
          <cell r="X129">
            <v>0</v>
          </cell>
          <cell r="Y129">
            <v>12470.32578787879</v>
          </cell>
          <cell r="AA129">
            <v>1</v>
          </cell>
          <cell r="AB129">
            <v>1</v>
          </cell>
          <cell r="AC129">
            <v>1</v>
          </cell>
          <cell r="AD129">
            <v>1</v>
          </cell>
          <cell r="AE129">
            <v>1</v>
          </cell>
          <cell r="AF129">
            <v>1</v>
          </cell>
          <cell r="AG129">
            <v>1</v>
          </cell>
          <cell r="AH129">
            <v>1</v>
          </cell>
          <cell r="AI129">
            <v>1</v>
          </cell>
          <cell r="AJ129">
            <v>1</v>
          </cell>
          <cell r="AK129">
            <v>1</v>
          </cell>
          <cell r="AL129">
            <v>1</v>
          </cell>
          <cell r="AN129">
            <v>3512.7678275714902</v>
          </cell>
          <cell r="AO129">
            <v>3512.7678275714902</v>
          </cell>
          <cell r="AP129">
            <v>3512.7678275714902</v>
          </cell>
          <cell r="AQ129">
            <v>3512.7678275714902</v>
          </cell>
          <cell r="AR129">
            <v>3512.7678275714902</v>
          </cell>
          <cell r="AS129">
            <v>3512.7678275714902</v>
          </cell>
          <cell r="AT129">
            <v>3512.7678275714902</v>
          </cell>
          <cell r="AU129">
            <v>3512.7678275714902</v>
          </cell>
          <cell r="AV129">
            <v>3512.7678275714902</v>
          </cell>
          <cell r="AW129">
            <v>3512.7678275714902</v>
          </cell>
          <cell r="AX129">
            <v>3512.7678275714902</v>
          </cell>
          <cell r="AY129">
            <v>3512.7678275714902</v>
          </cell>
        </row>
        <row r="130">
          <cell r="A130" t="str">
            <v>EVOGENE</v>
          </cell>
          <cell r="B130"/>
          <cell r="C130" t="str">
            <v>SOW</v>
          </cell>
          <cell r="D130" t="str">
            <v>Platform</v>
          </cell>
          <cell r="E130" t="str">
            <v>Plant Growth</v>
          </cell>
          <cell r="F130">
            <v>310554886</v>
          </cell>
          <cell r="G130" t="str">
            <v>Dasha Uretzky</v>
          </cell>
          <cell r="H130">
            <v>1</v>
          </cell>
          <cell r="I130">
            <v>10250</v>
          </cell>
          <cell r="J130">
            <v>0</v>
          </cell>
          <cell r="K130">
            <v>10250</v>
          </cell>
          <cell r="L130">
            <v>813</v>
          </cell>
          <cell r="M130">
            <v>735.29</v>
          </cell>
          <cell r="N130">
            <v>220.5</v>
          </cell>
          <cell r="O130">
            <v>194.12878787878788</v>
          </cell>
          <cell r="P130">
            <v>0</v>
          </cell>
          <cell r="Q130">
            <v>666.25</v>
          </cell>
          <cell r="R130">
            <v>686.0099090909091</v>
          </cell>
          <cell r="S130">
            <v>854.16666666666663</v>
          </cell>
          <cell r="T130">
            <v>768.75</v>
          </cell>
          <cell r="U130">
            <v>58.425000000000004</v>
          </cell>
          <cell r="V130">
            <v>491.14583333333326</v>
          </cell>
          <cell r="W130">
            <v>0</v>
          </cell>
          <cell r="X130">
            <v>0</v>
          </cell>
          <cell r="Y130">
            <v>15737.666196969698</v>
          </cell>
          <cell r="AA130">
            <v>1</v>
          </cell>
          <cell r="AB130">
            <v>1</v>
          </cell>
          <cell r="AC130">
            <v>1</v>
          </cell>
          <cell r="AD130">
            <v>1</v>
          </cell>
          <cell r="AE130">
            <v>1</v>
          </cell>
          <cell r="AF130">
            <v>1</v>
          </cell>
          <cell r="AG130">
            <v>1</v>
          </cell>
          <cell r="AH130">
            <v>1</v>
          </cell>
          <cell r="AI130">
            <v>1</v>
          </cell>
          <cell r="AJ130">
            <v>1</v>
          </cell>
          <cell r="AK130">
            <v>1</v>
          </cell>
          <cell r="AL130">
            <v>1</v>
          </cell>
          <cell r="AN130">
            <v>4433.1454075970978</v>
          </cell>
          <cell r="AO130">
            <v>4433.1454075970978</v>
          </cell>
          <cell r="AP130">
            <v>4433.1454075970978</v>
          </cell>
          <cell r="AQ130">
            <v>4433.1454075970978</v>
          </cell>
          <cell r="AR130">
            <v>4433.1454075970978</v>
          </cell>
          <cell r="AS130">
            <v>4433.1454075970978</v>
          </cell>
          <cell r="AT130">
            <v>4433.1454075970978</v>
          </cell>
          <cell r="AU130">
            <v>4433.1454075970978</v>
          </cell>
          <cell r="AV130">
            <v>4433.1454075970978</v>
          </cell>
          <cell r="AW130">
            <v>4433.1454075970978</v>
          </cell>
          <cell r="AX130">
            <v>4433.1454075970978</v>
          </cell>
          <cell r="AY130">
            <v>4433.1454075970978</v>
          </cell>
        </row>
        <row r="131">
          <cell r="A131" t="str">
            <v>EVOGENE</v>
          </cell>
          <cell r="B131"/>
          <cell r="C131" t="str">
            <v>SOW</v>
          </cell>
          <cell r="D131" t="str">
            <v>Platform</v>
          </cell>
          <cell r="E131" t="str">
            <v>Plant Growth</v>
          </cell>
          <cell r="F131">
            <v>336385281</v>
          </cell>
          <cell r="G131" t="str">
            <v>Evgenia Larkin</v>
          </cell>
          <cell r="H131">
            <v>1</v>
          </cell>
          <cell r="I131">
            <v>6500</v>
          </cell>
          <cell r="J131">
            <v>0</v>
          </cell>
          <cell r="K131">
            <v>6500</v>
          </cell>
          <cell r="L131">
            <v>813</v>
          </cell>
          <cell r="M131">
            <v>568.17999999999995</v>
          </cell>
          <cell r="N131">
            <v>221</v>
          </cell>
          <cell r="O131">
            <v>123.10606060606061</v>
          </cell>
          <cell r="P131">
            <v>0</v>
          </cell>
          <cell r="Q131">
            <v>422.5</v>
          </cell>
          <cell r="R131">
            <v>386.93745454545456</v>
          </cell>
          <cell r="S131">
            <v>541.66666666666663</v>
          </cell>
          <cell r="T131">
            <v>487.5</v>
          </cell>
          <cell r="U131">
            <v>37.050000000000004</v>
          </cell>
          <cell r="V131">
            <v>311.45833333333331</v>
          </cell>
          <cell r="W131">
            <v>0</v>
          </cell>
          <cell r="X131">
            <v>0</v>
          </cell>
          <cell r="Y131">
            <v>10412.398515151513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</row>
        <row r="132">
          <cell r="A132"/>
          <cell r="B132"/>
          <cell r="D132"/>
          <cell r="I132"/>
          <cell r="J132"/>
          <cell r="K132"/>
          <cell r="L132"/>
          <cell r="M132"/>
          <cell r="N132"/>
          <cell r="O132"/>
          <cell r="P132"/>
          <cell r="Q132">
            <v>0</v>
          </cell>
          <cell r="R132"/>
          <cell r="S132">
            <v>0</v>
          </cell>
          <cell r="T132">
            <v>0</v>
          </cell>
          <cell r="U132">
            <v>0</v>
          </cell>
          <cell r="V132"/>
          <cell r="W132"/>
          <cell r="X132"/>
          <cell r="Y132" t="str">
            <v/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N132" t="str">
            <v/>
          </cell>
          <cell r="AO132" t="str">
            <v/>
          </cell>
          <cell r="AP132" t="str">
            <v/>
          </cell>
          <cell r="AQ132" t="str">
            <v/>
          </cell>
          <cell r="AR132" t="str">
            <v/>
          </cell>
          <cell r="AS132" t="str">
            <v/>
          </cell>
          <cell r="AT132" t="str">
            <v/>
          </cell>
          <cell r="AU132" t="str">
            <v/>
          </cell>
          <cell r="AV132" t="str">
            <v/>
          </cell>
          <cell r="AW132" t="str">
            <v/>
          </cell>
          <cell r="AX132" t="str">
            <v/>
          </cell>
          <cell r="AY132" t="str">
            <v/>
          </cell>
        </row>
        <row r="133">
          <cell r="A133" t="str">
            <v>EVOGENE</v>
          </cell>
          <cell r="B133"/>
          <cell r="C133" t="str">
            <v>SOW</v>
          </cell>
          <cell r="D133" t="str">
            <v>Platform</v>
          </cell>
          <cell r="E133" t="str">
            <v>Platform Directors</v>
          </cell>
          <cell r="F133">
            <v>15713779</v>
          </cell>
          <cell r="G133" t="str">
            <v>Mark Kapel</v>
          </cell>
          <cell r="H133">
            <v>1</v>
          </cell>
          <cell r="I133">
            <v>35000</v>
          </cell>
          <cell r="J133">
            <v>0</v>
          </cell>
          <cell r="K133">
            <v>35000</v>
          </cell>
          <cell r="L133">
            <v>813</v>
          </cell>
          <cell r="M133">
            <v>486.8</v>
          </cell>
          <cell r="N133">
            <v>252</v>
          </cell>
          <cell r="O133">
            <v>662.87878787878788</v>
          </cell>
          <cell r="P133">
            <v>120</v>
          </cell>
          <cell r="Q133">
            <v>2275</v>
          </cell>
          <cell r="R133">
            <v>2570.1419090909089</v>
          </cell>
          <cell r="S133">
            <v>2916.6666666666665</v>
          </cell>
          <cell r="T133">
            <v>2625</v>
          </cell>
          <cell r="U133">
            <v>199.5</v>
          </cell>
          <cell r="V133">
            <v>1677.0833333333333</v>
          </cell>
          <cell r="W133">
            <v>0</v>
          </cell>
          <cell r="X133">
            <v>0</v>
          </cell>
          <cell r="Y133">
            <v>49598.070696969698</v>
          </cell>
          <cell r="AA133">
            <v>1</v>
          </cell>
          <cell r="AB133">
            <v>1</v>
          </cell>
          <cell r="AC133">
            <v>1</v>
          </cell>
          <cell r="AD133">
            <v>1</v>
          </cell>
          <cell r="AE133">
            <v>1</v>
          </cell>
          <cell r="AF133">
            <v>1</v>
          </cell>
          <cell r="AG133">
            <v>1</v>
          </cell>
          <cell r="AH133">
            <v>1</v>
          </cell>
          <cell r="AI133">
            <v>1</v>
          </cell>
          <cell r="AJ133">
            <v>1</v>
          </cell>
          <cell r="AK133">
            <v>1</v>
          </cell>
          <cell r="AL133">
            <v>1</v>
          </cell>
          <cell r="AN133">
            <v>13971.287520273156</v>
          </cell>
          <cell r="AO133">
            <v>13971.287520273156</v>
          </cell>
          <cell r="AP133">
            <v>13971.287520273156</v>
          </cell>
          <cell r="AQ133">
            <v>13971.287520273156</v>
          </cell>
          <cell r="AR133">
            <v>13971.287520273156</v>
          </cell>
          <cell r="AS133">
            <v>13971.287520273156</v>
          </cell>
          <cell r="AT133">
            <v>13971.287520273156</v>
          </cell>
          <cell r="AU133">
            <v>13971.287520273156</v>
          </cell>
          <cell r="AV133">
            <v>13971.287520273156</v>
          </cell>
          <cell r="AW133">
            <v>13971.287520273156</v>
          </cell>
          <cell r="AX133">
            <v>13971.287520273156</v>
          </cell>
          <cell r="AY133">
            <v>13971.287520273156</v>
          </cell>
        </row>
        <row r="134">
          <cell r="A134" t="str">
            <v>EVOGENE</v>
          </cell>
          <cell r="B134"/>
          <cell r="C134" t="str">
            <v>SOW</v>
          </cell>
          <cell r="D134" t="str">
            <v>Platform</v>
          </cell>
          <cell r="E134" t="str">
            <v>Platform Directors</v>
          </cell>
          <cell r="F134">
            <v>17078585</v>
          </cell>
          <cell r="G134" t="str">
            <v>Alina Sela-Brown</v>
          </cell>
          <cell r="H134">
            <v>1</v>
          </cell>
          <cell r="I134">
            <v>31000</v>
          </cell>
          <cell r="J134">
            <v>-1893</v>
          </cell>
          <cell r="K134">
            <v>29107</v>
          </cell>
          <cell r="L134">
            <v>813</v>
          </cell>
          <cell r="M134">
            <v>0</v>
          </cell>
          <cell r="N134">
            <v>252</v>
          </cell>
          <cell r="O134">
            <v>587.12121212121212</v>
          </cell>
          <cell r="P134">
            <v>0</v>
          </cell>
          <cell r="Q134">
            <v>1891.9550000000002</v>
          </cell>
          <cell r="R134">
            <v>2076.9750909090908</v>
          </cell>
          <cell r="S134">
            <v>2425.583333333333</v>
          </cell>
          <cell r="T134">
            <v>2183.0250000000001</v>
          </cell>
          <cell r="U134">
            <v>165.90989999999999</v>
          </cell>
          <cell r="V134">
            <v>1485.4166666666667</v>
          </cell>
          <cell r="W134">
            <v>2300</v>
          </cell>
          <cell r="X134">
            <v>1000</v>
          </cell>
          <cell r="Y134">
            <v>44287.986203030305</v>
          </cell>
          <cell r="AA134">
            <v>0.875</v>
          </cell>
          <cell r="AB134">
            <v>0.875</v>
          </cell>
          <cell r="AC134">
            <v>0.875</v>
          </cell>
          <cell r="AD134">
            <v>0.875</v>
          </cell>
          <cell r="AE134">
            <v>0.875</v>
          </cell>
          <cell r="AF134">
            <v>0.875</v>
          </cell>
          <cell r="AG134">
            <v>0.875</v>
          </cell>
          <cell r="AH134">
            <v>0.875</v>
          </cell>
          <cell r="AI134">
            <v>0.875</v>
          </cell>
          <cell r="AJ134">
            <v>0.875</v>
          </cell>
          <cell r="AK134">
            <v>0.875</v>
          </cell>
          <cell r="AL134">
            <v>0.875</v>
          </cell>
          <cell r="AN134">
            <v>10916.052937366623</v>
          </cell>
          <cell r="AO134">
            <v>10916.052937366623</v>
          </cell>
          <cell r="AP134">
            <v>10916.052937366623</v>
          </cell>
          <cell r="AQ134">
            <v>10916.052937366623</v>
          </cell>
          <cell r="AR134">
            <v>10916.052937366623</v>
          </cell>
          <cell r="AS134">
            <v>10916.052937366623</v>
          </cell>
          <cell r="AT134">
            <v>10916.052937366623</v>
          </cell>
          <cell r="AU134">
            <v>10916.052937366623</v>
          </cell>
          <cell r="AV134">
            <v>10916.052937366623</v>
          </cell>
          <cell r="AW134">
            <v>10916.052937366623</v>
          </cell>
          <cell r="AX134">
            <v>10916.052937366623</v>
          </cell>
          <cell r="AY134">
            <v>10916.052937366623</v>
          </cell>
        </row>
        <row r="135">
          <cell r="A135" t="str">
            <v>EVOGENE</v>
          </cell>
          <cell r="B135"/>
          <cell r="C135" t="str">
            <v>SOW - Div</v>
          </cell>
          <cell r="D135" t="str">
            <v>Platform</v>
          </cell>
          <cell r="E135" t="str">
            <v>PM-Chem</v>
          </cell>
          <cell r="F135">
            <v>17078585</v>
          </cell>
          <cell r="G135" t="str">
            <v>Alina Sela-Brown</v>
          </cell>
          <cell r="H135">
            <v>1</v>
          </cell>
          <cell r="I135">
            <v>31000</v>
          </cell>
          <cell r="J135">
            <v>-1893</v>
          </cell>
          <cell r="K135">
            <v>29107</v>
          </cell>
          <cell r="L135">
            <v>813</v>
          </cell>
          <cell r="M135">
            <v>0</v>
          </cell>
          <cell r="N135">
            <v>252</v>
          </cell>
          <cell r="O135">
            <v>587.12121212121212</v>
          </cell>
          <cell r="P135">
            <v>0</v>
          </cell>
          <cell r="Q135">
            <v>1891.9550000000002</v>
          </cell>
          <cell r="R135">
            <v>2076.9750909090908</v>
          </cell>
          <cell r="S135">
            <v>2425.583333333333</v>
          </cell>
          <cell r="T135">
            <v>2183.0250000000001</v>
          </cell>
          <cell r="U135">
            <v>165.90989999999999</v>
          </cell>
          <cell r="V135">
            <v>1485.4166666666667</v>
          </cell>
          <cell r="W135">
            <v>2300</v>
          </cell>
          <cell r="X135">
            <v>1000</v>
          </cell>
          <cell r="Y135">
            <v>44287.986203030305</v>
          </cell>
          <cell r="AA135">
            <v>0.125</v>
          </cell>
          <cell r="AB135">
            <v>0.125</v>
          </cell>
          <cell r="AC135">
            <v>0.125</v>
          </cell>
          <cell r="AD135">
            <v>0.125</v>
          </cell>
          <cell r="AE135">
            <v>0.125</v>
          </cell>
          <cell r="AF135">
            <v>0.125</v>
          </cell>
          <cell r="AG135">
            <v>0.125</v>
          </cell>
          <cell r="AH135">
            <v>0.125</v>
          </cell>
          <cell r="AI135">
            <v>0.125</v>
          </cell>
          <cell r="AJ135">
            <v>0.125</v>
          </cell>
          <cell r="AK135">
            <v>0.125</v>
          </cell>
          <cell r="AL135">
            <v>0.125</v>
          </cell>
          <cell r="AN135">
            <v>1559.4361339095178</v>
          </cell>
          <cell r="AO135">
            <v>1559.4361339095178</v>
          </cell>
          <cell r="AP135">
            <v>1559.4361339095178</v>
          </cell>
          <cell r="AQ135">
            <v>1559.4361339095178</v>
          </cell>
          <cell r="AR135">
            <v>1559.4361339095178</v>
          </cell>
          <cell r="AS135">
            <v>1559.4361339095178</v>
          </cell>
          <cell r="AT135">
            <v>1559.4361339095178</v>
          </cell>
          <cell r="AU135">
            <v>1559.4361339095178</v>
          </cell>
          <cell r="AV135">
            <v>1559.4361339095178</v>
          </cell>
          <cell r="AW135">
            <v>1559.4361339095178</v>
          </cell>
          <cell r="AX135">
            <v>1559.4361339095178</v>
          </cell>
          <cell r="AY135">
            <v>1559.4361339095178</v>
          </cell>
        </row>
        <row r="136">
          <cell r="A136" t="str">
            <v>EVOGENE</v>
          </cell>
          <cell r="B136"/>
          <cell r="C136" t="str">
            <v>SOW</v>
          </cell>
          <cell r="D136" t="str">
            <v>Platform</v>
          </cell>
          <cell r="E136" t="str">
            <v>Platform Directors</v>
          </cell>
          <cell r="F136">
            <v>28003184</v>
          </cell>
          <cell r="G136" t="str">
            <v>Rami Rauch</v>
          </cell>
          <cell r="H136">
            <v>1</v>
          </cell>
          <cell r="I136">
            <v>35000</v>
          </cell>
          <cell r="J136">
            <v>-1700</v>
          </cell>
          <cell r="K136">
            <v>33300</v>
          </cell>
          <cell r="L136">
            <v>813</v>
          </cell>
          <cell r="M136">
            <v>0</v>
          </cell>
          <cell r="N136">
            <v>220.5</v>
          </cell>
          <cell r="O136">
            <v>662.87878787878788</v>
          </cell>
          <cell r="P136">
            <v>0</v>
          </cell>
          <cell r="Q136">
            <v>2164.5</v>
          </cell>
          <cell r="R136">
            <v>2394.769409090909</v>
          </cell>
          <cell r="S136">
            <v>2775</v>
          </cell>
          <cell r="T136">
            <v>2497.5</v>
          </cell>
          <cell r="U136">
            <v>189.81</v>
          </cell>
          <cell r="V136">
            <v>1677.0833333333333</v>
          </cell>
          <cell r="W136">
            <v>2000</v>
          </cell>
          <cell r="X136">
            <v>1000</v>
          </cell>
          <cell r="Y136">
            <v>49695.041530303024</v>
          </cell>
          <cell r="AA136">
            <v>1</v>
          </cell>
          <cell r="AB136">
            <v>1</v>
          </cell>
          <cell r="AC136">
            <v>1</v>
          </cell>
          <cell r="AD136">
            <v>1</v>
          </cell>
          <cell r="AE136">
            <v>1</v>
          </cell>
          <cell r="AF136">
            <v>1</v>
          </cell>
          <cell r="AG136">
            <v>1</v>
          </cell>
          <cell r="AH136">
            <v>1</v>
          </cell>
          <cell r="AI136">
            <v>1</v>
          </cell>
          <cell r="AJ136">
            <v>1</v>
          </cell>
          <cell r="AK136">
            <v>1</v>
          </cell>
          <cell r="AL136">
            <v>1</v>
          </cell>
          <cell r="AN136">
            <v>13998.603247972684</v>
          </cell>
          <cell r="AO136">
            <v>13998.603247972684</v>
          </cell>
          <cell r="AP136">
            <v>13998.603247972684</v>
          </cell>
          <cell r="AQ136">
            <v>13998.603247972684</v>
          </cell>
          <cell r="AR136">
            <v>13998.603247972684</v>
          </cell>
          <cell r="AS136">
            <v>13998.603247972684</v>
          </cell>
          <cell r="AT136">
            <v>13998.603247972684</v>
          </cell>
          <cell r="AU136">
            <v>13998.603247972684</v>
          </cell>
          <cell r="AV136">
            <v>13998.603247972684</v>
          </cell>
          <cell r="AW136">
            <v>13998.603247972684</v>
          </cell>
          <cell r="AX136">
            <v>13998.603247972684</v>
          </cell>
          <cell r="AY136">
            <v>13998.603247972684</v>
          </cell>
        </row>
        <row r="137">
          <cell r="A137"/>
          <cell r="B137"/>
          <cell r="D137"/>
          <cell r="I137"/>
          <cell r="J137"/>
          <cell r="K137"/>
          <cell r="L137"/>
          <cell r="M137"/>
          <cell r="N137"/>
          <cell r="O137"/>
          <cell r="P137"/>
          <cell r="Q137">
            <v>0</v>
          </cell>
          <cell r="R137"/>
          <cell r="S137">
            <v>0</v>
          </cell>
          <cell r="T137">
            <v>0</v>
          </cell>
          <cell r="U137">
            <v>0</v>
          </cell>
          <cell r="V137"/>
          <cell r="W137"/>
          <cell r="X137"/>
          <cell r="Y137" t="str">
            <v/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N137" t="str">
            <v/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 t="str">
            <v/>
          </cell>
          <cell r="AT137" t="str">
            <v/>
          </cell>
          <cell r="AU137" t="str">
            <v/>
          </cell>
          <cell r="AV137" t="str">
            <v/>
          </cell>
          <cell r="AW137" t="str">
            <v/>
          </cell>
          <cell r="AX137" t="str">
            <v/>
          </cell>
          <cell r="AY137" t="str">
            <v/>
          </cell>
        </row>
        <row r="138">
          <cell r="A138" t="str">
            <v>EVOGENE</v>
          </cell>
          <cell r="B138"/>
          <cell r="C138" t="str">
            <v>SOW</v>
          </cell>
          <cell r="D138" t="str">
            <v>Platform</v>
          </cell>
          <cell r="E138" t="str">
            <v>PLM</v>
          </cell>
          <cell r="F138">
            <v>66390998</v>
          </cell>
          <cell r="G138" t="str">
            <v>Ziv Halamish</v>
          </cell>
          <cell r="H138">
            <v>1</v>
          </cell>
          <cell r="I138">
            <v>11000</v>
          </cell>
          <cell r="J138">
            <v>0</v>
          </cell>
          <cell r="K138">
            <v>11000</v>
          </cell>
          <cell r="L138">
            <v>813</v>
          </cell>
          <cell r="M138">
            <v>379.42</v>
          </cell>
          <cell r="N138">
            <v>220.5</v>
          </cell>
          <cell r="O138">
            <v>208.33333333333334</v>
          </cell>
          <cell r="P138">
            <v>120</v>
          </cell>
          <cell r="Q138">
            <v>715</v>
          </cell>
          <cell r="R138">
            <v>725.63499999999999</v>
          </cell>
          <cell r="S138">
            <v>916.66666666666663</v>
          </cell>
          <cell r="T138">
            <v>825</v>
          </cell>
          <cell r="U138">
            <v>62.7</v>
          </cell>
          <cell r="V138">
            <v>527.08333333333326</v>
          </cell>
          <cell r="W138">
            <v>0</v>
          </cell>
          <cell r="X138">
            <v>0</v>
          </cell>
          <cell r="Y138">
            <v>16513.338333333333</v>
          </cell>
          <cell r="AA138">
            <v>1</v>
          </cell>
          <cell r="AB138">
            <v>1</v>
          </cell>
          <cell r="AC138">
            <v>1</v>
          </cell>
          <cell r="AD138">
            <v>1</v>
          </cell>
          <cell r="AE138">
            <v>1</v>
          </cell>
          <cell r="AF138">
            <v>1</v>
          </cell>
          <cell r="AG138">
            <v>1</v>
          </cell>
          <cell r="AH138">
            <v>1</v>
          </cell>
          <cell r="AI138">
            <v>1</v>
          </cell>
          <cell r="AJ138">
            <v>1</v>
          </cell>
          <cell r="AK138">
            <v>1</v>
          </cell>
          <cell r="AL138">
            <v>1</v>
          </cell>
          <cell r="AN138">
            <v>4651.6446009389674</v>
          </cell>
          <cell r="AO138">
            <v>4651.6446009389674</v>
          </cell>
          <cell r="AP138">
            <v>4651.6446009389674</v>
          </cell>
          <cell r="AQ138">
            <v>4651.6446009389674</v>
          </cell>
          <cell r="AR138">
            <v>4651.6446009389674</v>
          </cell>
          <cell r="AS138">
            <v>4651.6446009389674</v>
          </cell>
          <cell r="AT138">
            <v>4651.6446009389674</v>
          </cell>
          <cell r="AU138">
            <v>4651.6446009389674</v>
          </cell>
          <cell r="AV138">
            <v>4651.6446009389674</v>
          </cell>
          <cell r="AW138">
            <v>4651.6446009389674</v>
          </cell>
          <cell r="AX138">
            <v>4651.6446009389674</v>
          </cell>
          <cell r="AY138">
            <v>4651.6446009389674</v>
          </cell>
        </row>
        <row r="139">
          <cell r="A139" t="str">
            <v>EVOGENE</v>
          </cell>
          <cell r="B139"/>
          <cell r="C139" t="str">
            <v>SOW</v>
          </cell>
          <cell r="D139" t="str">
            <v>Platform</v>
          </cell>
          <cell r="E139" t="str">
            <v>PLM</v>
          </cell>
          <cell r="F139">
            <v>313561722</v>
          </cell>
          <cell r="G139" t="str">
            <v>May Krispil</v>
          </cell>
          <cell r="H139">
            <v>1</v>
          </cell>
          <cell r="I139">
            <v>6000</v>
          </cell>
          <cell r="J139">
            <v>0</v>
          </cell>
          <cell r="K139">
            <v>6000</v>
          </cell>
          <cell r="L139">
            <v>813</v>
          </cell>
          <cell r="M139">
            <v>267.36</v>
          </cell>
          <cell r="N139">
            <v>220.5</v>
          </cell>
          <cell r="O139">
            <v>113.63636363636364</v>
          </cell>
          <cell r="P139">
            <v>0</v>
          </cell>
          <cell r="Q139">
            <v>390</v>
          </cell>
          <cell r="R139">
            <v>326.12822727272726</v>
          </cell>
          <cell r="S139">
            <v>500</v>
          </cell>
          <cell r="T139">
            <v>450</v>
          </cell>
          <cell r="U139">
            <v>34.200000000000003</v>
          </cell>
          <cell r="V139">
            <v>287.49999999999994</v>
          </cell>
          <cell r="W139">
            <v>0</v>
          </cell>
          <cell r="X139">
            <v>0</v>
          </cell>
          <cell r="Y139">
            <v>9402.3245909090911</v>
          </cell>
          <cell r="AA139">
            <v>0.5</v>
          </cell>
          <cell r="AB139">
            <v>0.5</v>
          </cell>
          <cell r="AC139">
            <v>0.5</v>
          </cell>
          <cell r="AD139">
            <v>0.5</v>
          </cell>
          <cell r="AE139">
            <v>0.5</v>
          </cell>
          <cell r="AF139">
            <v>0.5</v>
          </cell>
          <cell r="AG139">
            <v>0.5</v>
          </cell>
          <cell r="AH139">
            <v>0.5</v>
          </cell>
          <cell r="AI139">
            <v>0.5</v>
          </cell>
          <cell r="AJ139">
            <v>0.5</v>
          </cell>
          <cell r="AK139">
            <v>0.5</v>
          </cell>
          <cell r="AL139">
            <v>0.5</v>
          </cell>
          <cell r="AN139">
            <v>1324.2710691421255</v>
          </cell>
          <cell r="AO139">
            <v>1324.2710691421255</v>
          </cell>
          <cell r="AP139">
            <v>1324.2710691421255</v>
          </cell>
          <cell r="AQ139">
            <v>1324.2710691421255</v>
          </cell>
          <cell r="AR139">
            <v>1324.2710691421255</v>
          </cell>
          <cell r="AS139">
            <v>1324.2710691421255</v>
          </cell>
          <cell r="AT139">
            <v>1324.2710691421255</v>
          </cell>
          <cell r="AU139">
            <v>1324.2710691421255</v>
          </cell>
          <cell r="AV139">
            <v>1324.2710691421255</v>
          </cell>
          <cell r="AW139">
            <v>1324.2710691421255</v>
          </cell>
          <cell r="AX139">
            <v>1324.2710691421255</v>
          </cell>
          <cell r="AY139">
            <v>1324.2710691421255</v>
          </cell>
        </row>
        <row r="140">
          <cell r="A140" t="str">
            <v>EVOGENE</v>
          </cell>
          <cell r="B140"/>
          <cell r="C140" t="str">
            <v>SOW</v>
          </cell>
          <cell r="D140" t="str">
            <v>Platform</v>
          </cell>
          <cell r="E140" t="str">
            <v>Data Generation</v>
          </cell>
          <cell r="F140">
            <v>313561722</v>
          </cell>
          <cell r="G140" t="str">
            <v>May Krispil</v>
          </cell>
          <cell r="H140">
            <v>1</v>
          </cell>
          <cell r="I140">
            <v>6000</v>
          </cell>
          <cell r="J140">
            <v>0</v>
          </cell>
          <cell r="K140">
            <v>6000</v>
          </cell>
          <cell r="L140">
            <v>813</v>
          </cell>
          <cell r="M140">
            <v>267.36</v>
          </cell>
          <cell r="N140">
            <v>220.5</v>
          </cell>
          <cell r="O140">
            <v>113.63636363636364</v>
          </cell>
          <cell r="P140">
            <v>0</v>
          </cell>
          <cell r="Q140">
            <v>390</v>
          </cell>
          <cell r="R140">
            <v>326.12822727272726</v>
          </cell>
          <cell r="S140">
            <v>500</v>
          </cell>
          <cell r="T140">
            <v>450</v>
          </cell>
          <cell r="U140">
            <v>34.200000000000003</v>
          </cell>
          <cell r="V140">
            <v>287.49999999999994</v>
          </cell>
          <cell r="W140">
            <v>0</v>
          </cell>
          <cell r="X140">
            <v>0</v>
          </cell>
          <cell r="Y140">
            <v>9402.3245909090911</v>
          </cell>
          <cell r="AA140">
            <v>0.5</v>
          </cell>
          <cell r="AB140">
            <v>0.5</v>
          </cell>
          <cell r="AC140">
            <v>0.5</v>
          </cell>
          <cell r="AD140">
            <v>0.5</v>
          </cell>
          <cell r="AE140">
            <v>0.5</v>
          </cell>
          <cell r="AF140">
            <v>0.5</v>
          </cell>
          <cell r="AG140">
            <v>0.5</v>
          </cell>
          <cell r="AH140">
            <v>0.5</v>
          </cell>
          <cell r="AI140">
            <v>0.5</v>
          </cell>
          <cell r="AJ140">
            <v>0.5</v>
          </cell>
          <cell r="AK140">
            <v>0.5</v>
          </cell>
          <cell r="AL140">
            <v>0.5</v>
          </cell>
          <cell r="AN140">
            <v>1324.2710691421255</v>
          </cell>
          <cell r="AO140">
            <v>1324.2710691421255</v>
          </cell>
          <cell r="AP140">
            <v>1324.2710691421255</v>
          </cell>
          <cell r="AQ140">
            <v>1324.2710691421255</v>
          </cell>
          <cell r="AR140">
            <v>1324.2710691421255</v>
          </cell>
          <cell r="AS140">
            <v>1324.2710691421255</v>
          </cell>
          <cell r="AT140">
            <v>1324.2710691421255</v>
          </cell>
          <cell r="AU140">
            <v>1324.2710691421255</v>
          </cell>
          <cell r="AV140">
            <v>1324.2710691421255</v>
          </cell>
          <cell r="AW140">
            <v>1324.2710691421255</v>
          </cell>
          <cell r="AX140">
            <v>1324.2710691421255</v>
          </cell>
          <cell r="AY140">
            <v>1324.2710691421255</v>
          </cell>
        </row>
        <row r="141">
          <cell r="A141" t="str">
            <v>EVOGENE</v>
          </cell>
          <cell r="B141"/>
          <cell r="C141" t="str">
            <v>SOW</v>
          </cell>
          <cell r="D141" t="str">
            <v>Platform</v>
          </cell>
          <cell r="E141" t="str">
            <v>PLM</v>
          </cell>
          <cell r="F141">
            <v>326909710</v>
          </cell>
          <cell r="G141" t="str">
            <v>Chiemi Shirata</v>
          </cell>
          <cell r="H141">
            <v>1</v>
          </cell>
          <cell r="I141">
            <v>10000</v>
          </cell>
          <cell r="J141">
            <v>0</v>
          </cell>
          <cell r="K141">
            <v>10000</v>
          </cell>
          <cell r="L141">
            <v>813</v>
          </cell>
          <cell r="M141">
            <v>220.59</v>
          </cell>
          <cell r="N141">
            <v>220.5</v>
          </cell>
          <cell r="O141">
            <v>189.39393939393941</v>
          </cell>
          <cell r="P141">
            <v>0</v>
          </cell>
          <cell r="Q141">
            <v>650</v>
          </cell>
          <cell r="R141">
            <v>628.30229545454551</v>
          </cell>
          <cell r="S141">
            <v>833.33333333333326</v>
          </cell>
          <cell r="T141">
            <v>750</v>
          </cell>
          <cell r="U141">
            <v>57</v>
          </cell>
          <cell r="V141">
            <v>479.16666666666669</v>
          </cell>
          <cell r="W141">
            <v>0</v>
          </cell>
          <cell r="X141">
            <v>0</v>
          </cell>
          <cell r="Y141">
            <v>14841.286234848485</v>
          </cell>
          <cell r="AA141">
            <v>1</v>
          </cell>
          <cell r="AB141">
            <v>1</v>
          </cell>
          <cell r="AC141">
            <v>1</v>
          </cell>
          <cell r="AD141">
            <v>1</v>
          </cell>
          <cell r="AE141">
            <v>1</v>
          </cell>
          <cell r="AF141">
            <v>1</v>
          </cell>
          <cell r="AG141">
            <v>1</v>
          </cell>
          <cell r="AH141">
            <v>1</v>
          </cell>
          <cell r="AI141">
            <v>1</v>
          </cell>
          <cell r="AJ141">
            <v>1</v>
          </cell>
          <cell r="AK141">
            <v>1</v>
          </cell>
          <cell r="AL141">
            <v>1</v>
          </cell>
          <cell r="AN141">
            <v>4180.6440098164749</v>
          </cell>
          <cell r="AO141">
            <v>4180.6440098164749</v>
          </cell>
          <cell r="AP141">
            <v>4180.6440098164749</v>
          </cell>
          <cell r="AQ141">
            <v>4180.6440098164749</v>
          </cell>
          <cell r="AR141">
            <v>4180.6440098164749</v>
          </cell>
          <cell r="AS141">
            <v>4180.6440098164749</v>
          </cell>
          <cell r="AT141">
            <v>4180.6440098164749</v>
          </cell>
          <cell r="AU141">
            <v>4180.6440098164749</v>
          </cell>
          <cell r="AV141">
            <v>4180.6440098164749</v>
          </cell>
          <cell r="AW141">
            <v>4180.6440098164749</v>
          </cell>
          <cell r="AX141">
            <v>4180.6440098164749</v>
          </cell>
          <cell r="AY141">
            <v>4180.6440098164749</v>
          </cell>
        </row>
        <row r="142">
          <cell r="A142"/>
          <cell r="B142"/>
          <cell r="D142"/>
          <cell r="I142"/>
          <cell r="J142"/>
          <cell r="K142"/>
          <cell r="L142"/>
          <cell r="M142"/>
          <cell r="N142"/>
          <cell r="O142"/>
          <cell r="P142"/>
          <cell r="Q142">
            <v>0</v>
          </cell>
          <cell r="R142"/>
          <cell r="S142">
            <v>0</v>
          </cell>
          <cell r="T142">
            <v>0</v>
          </cell>
          <cell r="U142">
            <v>0</v>
          </cell>
          <cell r="V142"/>
          <cell r="W142"/>
          <cell r="X142"/>
          <cell r="Y142" t="str">
            <v/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N142" t="str">
            <v/>
          </cell>
          <cell r="AO142" t="str">
            <v/>
          </cell>
          <cell r="AP142" t="str">
            <v/>
          </cell>
          <cell r="AQ142" t="str">
            <v/>
          </cell>
          <cell r="AR142" t="str">
            <v/>
          </cell>
          <cell r="AS142" t="str">
            <v/>
          </cell>
          <cell r="AT142" t="str">
            <v/>
          </cell>
          <cell r="AU142" t="str">
            <v/>
          </cell>
          <cell r="AV142" t="str">
            <v/>
          </cell>
          <cell r="AW142" t="str">
            <v/>
          </cell>
          <cell r="AX142" t="str">
            <v/>
          </cell>
          <cell r="AY142" t="str">
            <v/>
          </cell>
        </row>
        <row r="143">
          <cell r="A143" t="str">
            <v>EVOGENE</v>
          </cell>
          <cell r="B143"/>
          <cell r="C143" t="str">
            <v>SOW</v>
          </cell>
          <cell r="D143" t="str">
            <v>Platform</v>
          </cell>
          <cell r="E143" t="str">
            <v>QA</v>
          </cell>
          <cell r="F143">
            <v>58844648</v>
          </cell>
          <cell r="G143" t="str">
            <v>Adi Sarid</v>
          </cell>
          <cell r="H143">
            <v>1</v>
          </cell>
          <cell r="I143">
            <v>13500</v>
          </cell>
          <cell r="J143">
            <v>0</v>
          </cell>
          <cell r="K143">
            <v>13500</v>
          </cell>
          <cell r="L143">
            <v>813</v>
          </cell>
          <cell r="M143">
            <v>270</v>
          </cell>
          <cell r="N143">
            <v>157.5</v>
          </cell>
          <cell r="O143">
            <v>255.68181818181816</v>
          </cell>
          <cell r="P143">
            <v>0</v>
          </cell>
          <cell r="Q143">
            <v>877.5</v>
          </cell>
          <cell r="R143">
            <v>894.75463636363634</v>
          </cell>
          <cell r="S143">
            <v>1125</v>
          </cell>
          <cell r="T143">
            <v>1012.5</v>
          </cell>
          <cell r="U143">
            <v>76.95</v>
          </cell>
          <cell r="V143">
            <v>646.87499999999989</v>
          </cell>
          <cell r="W143">
            <v>0</v>
          </cell>
          <cell r="X143">
            <v>0</v>
          </cell>
          <cell r="Y143">
            <v>19629.761454545456</v>
          </cell>
          <cell r="AA143">
            <v>1</v>
          </cell>
          <cell r="AB143">
            <v>1</v>
          </cell>
          <cell r="AC143">
            <v>1</v>
          </cell>
          <cell r="AD143">
            <v>1</v>
          </cell>
          <cell r="AE143">
            <v>1</v>
          </cell>
          <cell r="AF143">
            <v>1</v>
          </cell>
          <cell r="AG143">
            <v>1</v>
          </cell>
          <cell r="AH143">
            <v>1</v>
          </cell>
          <cell r="AI143">
            <v>1</v>
          </cell>
          <cell r="AJ143">
            <v>1</v>
          </cell>
          <cell r="AK143">
            <v>1</v>
          </cell>
          <cell r="AL143">
            <v>1</v>
          </cell>
          <cell r="AN143">
            <v>5529.5102688860443</v>
          </cell>
          <cell r="AO143">
            <v>5529.5102688860443</v>
          </cell>
          <cell r="AP143">
            <v>5529.5102688860443</v>
          </cell>
          <cell r="AQ143">
            <v>5529.5102688860443</v>
          </cell>
          <cell r="AR143">
            <v>5529.5102688860443</v>
          </cell>
          <cell r="AS143">
            <v>5529.5102688860443</v>
          </cell>
          <cell r="AT143">
            <v>5529.5102688860443</v>
          </cell>
          <cell r="AU143">
            <v>5529.5102688860443</v>
          </cell>
          <cell r="AV143">
            <v>5529.5102688860443</v>
          </cell>
          <cell r="AW143">
            <v>5529.5102688860443</v>
          </cell>
          <cell r="AX143">
            <v>5529.5102688860443</v>
          </cell>
          <cell r="AY143">
            <v>5529.5102688860443</v>
          </cell>
        </row>
        <row r="144">
          <cell r="A144"/>
          <cell r="B144"/>
          <cell r="D144"/>
          <cell r="I144"/>
          <cell r="J144"/>
          <cell r="K144"/>
          <cell r="L144"/>
          <cell r="M144"/>
          <cell r="N144"/>
          <cell r="O144"/>
          <cell r="P144"/>
          <cell r="Q144">
            <v>0</v>
          </cell>
          <cell r="R144"/>
          <cell r="S144">
            <v>0</v>
          </cell>
          <cell r="T144">
            <v>0</v>
          </cell>
          <cell r="U144">
            <v>0</v>
          </cell>
          <cell r="V144"/>
          <cell r="W144"/>
          <cell r="X144"/>
          <cell r="Y144" t="str">
            <v/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N144" t="str">
            <v/>
          </cell>
          <cell r="AO144" t="str">
            <v/>
          </cell>
          <cell r="AP144" t="str">
            <v/>
          </cell>
          <cell r="AQ144" t="str">
            <v/>
          </cell>
          <cell r="AR144" t="str">
            <v/>
          </cell>
          <cell r="AS144" t="str">
            <v/>
          </cell>
          <cell r="AT144" t="str">
            <v/>
          </cell>
          <cell r="AU144" t="str">
            <v/>
          </cell>
          <cell r="AV144" t="str">
            <v/>
          </cell>
          <cell r="AW144" t="str">
            <v/>
          </cell>
          <cell r="AX144" t="str">
            <v/>
          </cell>
          <cell r="AY144" t="str">
            <v/>
          </cell>
        </row>
        <row r="145">
          <cell r="A145" t="str">
            <v>EVOGENE</v>
          </cell>
          <cell r="B145"/>
          <cell r="C145" t="str">
            <v>SOW</v>
          </cell>
          <cell r="D145" t="str">
            <v>Platform</v>
          </cell>
          <cell r="E145" t="str">
            <v>Tissue Culture</v>
          </cell>
          <cell r="F145">
            <v>15442353</v>
          </cell>
          <cell r="G145" t="str">
            <v>Mara Dekel</v>
          </cell>
          <cell r="H145">
            <v>1</v>
          </cell>
          <cell r="I145">
            <v>13200</v>
          </cell>
          <cell r="J145">
            <v>0</v>
          </cell>
          <cell r="K145">
            <v>13200</v>
          </cell>
          <cell r="L145">
            <v>813</v>
          </cell>
          <cell r="M145">
            <v>270.18</v>
          </cell>
          <cell r="N145">
            <v>189</v>
          </cell>
          <cell r="O145">
            <v>250</v>
          </cell>
          <cell r="P145">
            <v>0</v>
          </cell>
          <cell r="Q145">
            <v>858</v>
          </cell>
          <cell r="R145">
            <v>874.20450000000005</v>
          </cell>
          <cell r="S145">
            <v>1100</v>
          </cell>
          <cell r="T145">
            <v>990</v>
          </cell>
          <cell r="U145">
            <v>75.240000000000009</v>
          </cell>
          <cell r="V145">
            <v>632.49999999999989</v>
          </cell>
          <cell r="W145">
            <v>0</v>
          </cell>
          <cell r="X145">
            <v>0</v>
          </cell>
          <cell r="Y145">
            <v>19252.124500000002</v>
          </cell>
          <cell r="AA145">
            <v>1</v>
          </cell>
          <cell r="AB145">
            <v>1</v>
          </cell>
          <cell r="AC145">
            <v>1</v>
          </cell>
          <cell r="AD145">
            <v>1</v>
          </cell>
          <cell r="AE145">
            <v>1</v>
          </cell>
          <cell r="AF145">
            <v>1</v>
          </cell>
          <cell r="AG145">
            <v>1</v>
          </cell>
          <cell r="AH145">
            <v>1</v>
          </cell>
          <cell r="AI145">
            <v>1</v>
          </cell>
          <cell r="AJ145">
            <v>1</v>
          </cell>
          <cell r="AK145">
            <v>1</v>
          </cell>
          <cell r="AL145">
            <v>1</v>
          </cell>
          <cell r="AN145">
            <v>5423.1336619718313</v>
          </cell>
          <cell r="AO145">
            <v>5423.1336619718313</v>
          </cell>
          <cell r="AP145">
            <v>5423.1336619718313</v>
          </cell>
          <cell r="AQ145">
            <v>5423.1336619718313</v>
          </cell>
          <cell r="AR145">
            <v>5423.1336619718313</v>
          </cell>
          <cell r="AS145">
            <v>5423.1336619718313</v>
          </cell>
          <cell r="AT145">
            <v>5423.1336619718313</v>
          </cell>
          <cell r="AU145">
            <v>5423.1336619718313</v>
          </cell>
          <cell r="AV145">
            <v>5423.1336619718313</v>
          </cell>
          <cell r="AW145">
            <v>5423.1336619718313</v>
          </cell>
          <cell r="AX145">
            <v>5423.1336619718313</v>
          </cell>
          <cell r="AY145">
            <v>5423.1336619718313</v>
          </cell>
        </row>
        <row r="146">
          <cell r="A146" t="str">
            <v>EVOGENE</v>
          </cell>
          <cell r="B146"/>
          <cell r="C146" t="str">
            <v>SOW</v>
          </cell>
          <cell r="D146" t="str">
            <v>Platform</v>
          </cell>
          <cell r="E146" t="str">
            <v>Chemistry Lab</v>
          </cell>
          <cell r="F146">
            <v>32336414</v>
          </cell>
          <cell r="G146" t="str">
            <v>Yoram Raz</v>
          </cell>
          <cell r="H146">
            <v>1</v>
          </cell>
          <cell r="I146">
            <v>12500</v>
          </cell>
          <cell r="J146">
            <v>0</v>
          </cell>
          <cell r="K146">
            <v>12500</v>
          </cell>
          <cell r="L146">
            <v>813</v>
          </cell>
          <cell r="M146">
            <v>452.62</v>
          </cell>
          <cell r="N146">
            <v>252</v>
          </cell>
          <cell r="O146">
            <v>236.74242424242422</v>
          </cell>
          <cell r="P146">
            <v>0</v>
          </cell>
          <cell r="Q146">
            <v>812.5</v>
          </cell>
          <cell r="R146">
            <v>839.11818181818194</v>
          </cell>
          <cell r="S146">
            <v>1041.6666666666665</v>
          </cell>
          <cell r="T146">
            <v>937.5</v>
          </cell>
          <cell r="U146">
            <v>71.25</v>
          </cell>
          <cell r="V146">
            <v>598.95833333333326</v>
          </cell>
          <cell r="W146">
            <v>0</v>
          </cell>
          <cell r="X146">
            <v>0</v>
          </cell>
          <cell r="Y146">
            <v>18555.355606060606</v>
          </cell>
          <cell r="AA146">
            <v>1</v>
          </cell>
          <cell r="AB146">
            <v>1</v>
          </cell>
          <cell r="AC146">
            <v>1</v>
          </cell>
          <cell r="AD146">
            <v>1</v>
          </cell>
          <cell r="AE146">
            <v>1</v>
          </cell>
          <cell r="AF146">
            <v>1</v>
          </cell>
          <cell r="AG146">
            <v>1</v>
          </cell>
          <cell r="AH146">
            <v>1</v>
          </cell>
          <cell r="AI146">
            <v>1</v>
          </cell>
          <cell r="AJ146">
            <v>1</v>
          </cell>
          <cell r="AK146">
            <v>1</v>
          </cell>
          <cell r="AL146">
            <v>1</v>
          </cell>
          <cell r="AN146">
            <v>5226.8607341015795</v>
          </cell>
          <cell r="AO146">
            <v>5226.8607341015795</v>
          </cell>
          <cell r="AP146">
            <v>5226.8607341015795</v>
          </cell>
          <cell r="AQ146">
            <v>5226.8607341015795</v>
          </cell>
          <cell r="AR146">
            <v>5226.8607341015795</v>
          </cell>
          <cell r="AS146">
            <v>5226.8607341015795</v>
          </cell>
          <cell r="AT146">
            <v>5226.8607341015795</v>
          </cell>
          <cell r="AU146">
            <v>5226.8607341015795</v>
          </cell>
          <cell r="AV146">
            <v>5226.8607341015795</v>
          </cell>
          <cell r="AW146">
            <v>5226.8607341015795</v>
          </cell>
          <cell r="AX146">
            <v>5226.8607341015795</v>
          </cell>
          <cell r="AY146">
            <v>5226.8607341015795</v>
          </cell>
        </row>
        <row r="147">
          <cell r="A147" t="str">
            <v>EVOGENE</v>
          </cell>
          <cell r="B147"/>
          <cell r="C147" t="str">
            <v>SOW</v>
          </cell>
          <cell r="D147" t="str">
            <v>Platform</v>
          </cell>
          <cell r="E147" t="str">
            <v>Tissue Culture</v>
          </cell>
          <cell r="F147">
            <v>36277358</v>
          </cell>
          <cell r="G147" t="str">
            <v>Libat  Yashar</v>
          </cell>
          <cell r="H147">
            <v>1</v>
          </cell>
          <cell r="I147">
            <v>9000</v>
          </cell>
          <cell r="J147">
            <v>0</v>
          </cell>
          <cell r="K147">
            <v>9000</v>
          </cell>
          <cell r="L147">
            <v>813</v>
          </cell>
          <cell r="M147">
            <v>568.17999999999995</v>
          </cell>
          <cell r="N147">
            <v>157.5</v>
          </cell>
          <cell r="O147">
            <v>170.45454545454544</v>
          </cell>
          <cell r="P147">
            <v>0</v>
          </cell>
          <cell r="Q147">
            <v>585</v>
          </cell>
          <cell r="R147">
            <v>573.226090909091</v>
          </cell>
          <cell r="S147">
            <v>750</v>
          </cell>
          <cell r="T147">
            <v>675</v>
          </cell>
          <cell r="U147">
            <v>51.300000000000004</v>
          </cell>
          <cell r="V147">
            <v>431.25</v>
          </cell>
          <cell r="W147">
            <v>0</v>
          </cell>
          <cell r="X147">
            <v>0</v>
          </cell>
          <cell r="Y147">
            <v>13774.910636363637</v>
          </cell>
          <cell r="AA147">
            <v>1</v>
          </cell>
          <cell r="AB147">
            <v>1</v>
          </cell>
          <cell r="AC147">
            <v>0.25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1</v>
          </cell>
          <cell r="AL147">
            <v>1</v>
          </cell>
          <cell r="AN147">
            <v>3880.2565172855316</v>
          </cell>
          <cell r="AO147">
            <v>3880.2565172855316</v>
          </cell>
          <cell r="AP147">
            <v>970.06412932138289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3880.2565172855316</v>
          </cell>
          <cell r="AY147">
            <v>3880.2565172855316</v>
          </cell>
        </row>
        <row r="148">
          <cell r="A148" t="str">
            <v>EVOGENE</v>
          </cell>
          <cell r="B148"/>
          <cell r="C148" t="str">
            <v>SOW</v>
          </cell>
          <cell r="D148" t="str">
            <v>Platform</v>
          </cell>
          <cell r="E148" t="str">
            <v>Tissue Culture</v>
          </cell>
          <cell r="F148">
            <v>38591996</v>
          </cell>
          <cell r="G148" t="str">
            <v>Niran Hai</v>
          </cell>
          <cell r="H148">
            <v>1</v>
          </cell>
          <cell r="I148">
            <v>12250</v>
          </cell>
          <cell r="J148">
            <v>0</v>
          </cell>
          <cell r="K148">
            <v>12250</v>
          </cell>
          <cell r="L148">
            <v>813</v>
          </cell>
          <cell r="M148">
            <v>270.17</v>
          </cell>
          <cell r="N148">
            <v>220.5</v>
          </cell>
          <cell r="O148">
            <v>232.00757575757578</v>
          </cell>
          <cell r="P148">
            <v>0</v>
          </cell>
          <cell r="Q148">
            <v>796.25</v>
          </cell>
          <cell r="R148">
            <v>803.9668181818181</v>
          </cell>
          <cell r="S148">
            <v>1020.8333333333333</v>
          </cell>
          <cell r="T148">
            <v>918.75</v>
          </cell>
          <cell r="U148">
            <v>69.825000000000003</v>
          </cell>
          <cell r="V148">
            <v>586.97916666666663</v>
          </cell>
          <cell r="W148">
            <v>0</v>
          </cell>
          <cell r="X148">
            <v>0</v>
          </cell>
          <cell r="Y148">
            <v>17982.281893939395</v>
          </cell>
          <cell r="AA148">
            <v>1</v>
          </cell>
          <cell r="AB148">
            <v>1</v>
          </cell>
          <cell r="AC148">
            <v>1</v>
          </cell>
          <cell r="AD148">
            <v>1</v>
          </cell>
          <cell r="AE148">
            <v>1</v>
          </cell>
          <cell r="AF148">
            <v>1</v>
          </cell>
          <cell r="AG148">
            <v>1</v>
          </cell>
          <cell r="AH148">
            <v>1</v>
          </cell>
          <cell r="AI148">
            <v>1</v>
          </cell>
          <cell r="AJ148">
            <v>1</v>
          </cell>
          <cell r="AK148">
            <v>1</v>
          </cell>
          <cell r="AL148">
            <v>1</v>
          </cell>
          <cell r="AN148">
            <v>5065.4315194195478</v>
          </cell>
          <cell r="AO148">
            <v>5065.4315194195478</v>
          </cell>
          <cell r="AP148">
            <v>5065.4315194195478</v>
          </cell>
          <cell r="AQ148">
            <v>5065.4315194195478</v>
          </cell>
          <cell r="AR148">
            <v>5065.4315194195478</v>
          </cell>
          <cell r="AS148">
            <v>5065.4315194195478</v>
          </cell>
          <cell r="AT148">
            <v>5065.4315194195478</v>
          </cell>
          <cell r="AU148">
            <v>5065.4315194195478</v>
          </cell>
          <cell r="AV148">
            <v>5065.4315194195478</v>
          </cell>
          <cell r="AW148">
            <v>5065.4315194195478</v>
          </cell>
          <cell r="AX148">
            <v>5065.4315194195478</v>
          </cell>
          <cell r="AY148">
            <v>5065.4315194195478</v>
          </cell>
        </row>
        <row r="149">
          <cell r="A149" t="str">
            <v>EVOGENE</v>
          </cell>
          <cell r="B149"/>
          <cell r="C149" t="str">
            <v>SOW</v>
          </cell>
          <cell r="D149" t="str">
            <v>Platform</v>
          </cell>
          <cell r="E149" t="str">
            <v>Phytopathology Lab</v>
          </cell>
          <cell r="F149">
            <v>38795969</v>
          </cell>
          <cell r="G149" t="str">
            <v>Naama Breiman</v>
          </cell>
          <cell r="H149">
            <v>1</v>
          </cell>
          <cell r="I149">
            <v>8000</v>
          </cell>
          <cell r="J149">
            <v>0</v>
          </cell>
          <cell r="K149">
            <v>8000</v>
          </cell>
          <cell r="L149">
            <v>813</v>
          </cell>
          <cell r="M149">
            <v>323.52999999999997</v>
          </cell>
          <cell r="N149">
            <v>220.5</v>
          </cell>
          <cell r="O149">
            <v>151.5151515151515</v>
          </cell>
          <cell r="P149">
            <v>0</v>
          </cell>
          <cell r="Q149">
            <v>520</v>
          </cell>
          <cell r="R149">
            <v>483.18188636363647</v>
          </cell>
          <cell r="S149">
            <v>666.66666666666663</v>
          </cell>
          <cell r="T149">
            <v>600</v>
          </cell>
          <cell r="U149">
            <v>45.6</v>
          </cell>
          <cell r="V149">
            <v>383.33333333333331</v>
          </cell>
          <cell r="W149">
            <v>0</v>
          </cell>
          <cell r="X149">
            <v>0</v>
          </cell>
          <cell r="Y149">
            <v>12207.327037878789</v>
          </cell>
          <cell r="AA149">
            <v>1</v>
          </cell>
          <cell r="AB149">
            <v>1</v>
          </cell>
          <cell r="AC149">
            <v>1</v>
          </cell>
          <cell r="AD149">
            <v>1</v>
          </cell>
          <cell r="AE149">
            <v>1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N149">
            <v>3438.6836726419128</v>
          </cell>
          <cell r="AO149">
            <v>3438.6836726419128</v>
          </cell>
          <cell r="AP149">
            <v>3438.6836726419128</v>
          </cell>
          <cell r="AQ149">
            <v>3438.6836726419128</v>
          </cell>
          <cell r="AR149">
            <v>3438.6836726419128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</row>
        <row r="150">
          <cell r="A150" t="str">
            <v>EVOGENE</v>
          </cell>
          <cell r="B150"/>
          <cell r="C150" t="str">
            <v>SOW</v>
          </cell>
          <cell r="D150" t="str">
            <v>Platform</v>
          </cell>
          <cell r="E150" t="str">
            <v>Chemistry Lab</v>
          </cell>
          <cell r="F150">
            <v>39433693</v>
          </cell>
          <cell r="G150" t="str">
            <v>Jochanan Schwartz</v>
          </cell>
          <cell r="H150">
            <v>1</v>
          </cell>
          <cell r="I150">
            <v>9200</v>
          </cell>
          <cell r="J150">
            <v>0</v>
          </cell>
          <cell r="K150">
            <v>9200</v>
          </cell>
          <cell r="L150">
            <v>813</v>
          </cell>
          <cell r="M150">
            <v>226.46</v>
          </cell>
          <cell r="N150">
            <v>189</v>
          </cell>
          <cell r="O150">
            <v>174.24242424242425</v>
          </cell>
          <cell r="P150">
            <v>0</v>
          </cell>
          <cell r="Q150">
            <v>598</v>
          </cell>
          <cell r="R150">
            <v>565.24368181818181</v>
          </cell>
          <cell r="S150">
            <v>766.66666666666663</v>
          </cell>
          <cell r="T150">
            <v>690</v>
          </cell>
          <cell r="U150">
            <v>52.440000000000005</v>
          </cell>
          <cell r="V150">
            <v>440.83333333333331</v>
          </cell>
          <cell r="W150">
            <v>0</v>
          </cell>
          <cell r="X150">
            <v>0</v>
          </cell>
          <cell r="Y150">
            <v>13715.886106060605</v>
          </cell>
          <cell r="AA150">
            <v>1</v>
          </cell>
          <cell r="AB150">
            <v>1</v>
          </cell>
          <cell r="AC150">
            <v>1</v>
          </cell>
          <cell r="AD150">
            <v>1</v>
          </cell>
          <cell r="AE150">
            <v>1</v>
          </cell>
          <cell r="AF150">
            <v>1</v>
          </cell>
          <cell r="AG150">
            <v>1</v>
          </cell>
          <cell r="AH150">
            <v>1</v>
          </cell>
          <cell r="AI150">
            <v>1</v>
          </cell>
          <cell r="AJ150">
            <v>1</v>
          </cell>
          <cell r="AK150">
            <v>1</v>
          </cell>
          <cell r="AL150">
            <v>1</v>
          </cell>
          <cell r="AN150">
            <v>3863.6298890311564</v>
          </cell>
          <cell r="AO150">
            <v>3863.6298890311564</v>
          </cell>
          <cell r="AP150">
            <v>3863.6298890311564</v>
          </cell>
          <cell r="AQ150">
            <v>3863.6298890311564</v>
          </cell>
          <cell r="AR150">
            <v>3863.6298890311564</v>
          </cell>
          <cell r="AS150">
            <v>3863.6298890311564</v>
          </cell>
          <cell r="AT150">
            <v>3863.6298890311564</v>
          </cell>
          <cell r="AU150">
            <v>3863.6298890311564</v>
          </cell>
          <cell r="AV150">
            <v>3863.6298890311564</v>
          </cell>
          <cell r="AW150">
            <v>3863.6298890311564</v>
          </cell>
          <cell r="AX150">
            <v>3863.6298890311564</v>
          </cell>
          <cell r="AY150">
            <v>3863.6298890311564</v>
          </cell>
        </row>
        <row r="151">
          <cell r="A151" t="str">
            <v>EVOGENE</v>
          </cell>
          <cell r="B151"/>
          <cell r="C151" t="str">
            <v>SOW</v>
          </cell>
          <cell r="D151" t="str">
            <v>Platform</v>
          </cell>
          <cell r="E151" t="str">
            <v>Tissue Culture</v>
          </cell>
          <cell r="F151">
            <v>40368474</v>
          </cell>
          <cell r="G151" t="str">
            <v>Nurit Barr</v>
          </cell>
          <cell r="H151">
            <v>1</v>
          </cell>
          <cell r="I151">
            <v>9200</v>
          </cell>
          <cell r="J151">
            <v>0</v>
          </cell>
          <cell r="K151">
            <v>9200</v>
          </cell>
          <cell r="L151">
            <v>813</v>
          </cell>
          <cell r="M151">
            <v>293.18</v>
          </cell>
          <cell r="N151">
            <v>157.5</v>
          </cell>
          <cell r="O151">
            <v>174.24242424242425</v>
          </cell>
          <cell r="P151">
            <v>0</v>
          </cell>
          <cell r="Q151">
            <v>598</v>
          </cell>
          <cell r="R151">
            <v>567.88518181818176</v>
          </cell>
          <cell r="S151">
            <v>766.66666666666663</v>
          </cell>
          <cell r="T151">
            <v>690</v>
          </cell>
          <cell r="U151">
            <v>52.440000000000005</v>
          </cell>
          <cell r="V151">
            <v>440.83333333333331</v>
          </cell>
          <cell r="W151">
            <v>0</v>
          </cell>
          <cell r="X151">
            <v>0</v>
          </cell>
          <cell r="Y151">
            <v>13753.747606060606</v>
          </cell>
          <cell r="AA151">
            <v>1</v>
          </cell>
          <cell r="AB151">
            <v>1</v>
          </cell>
          <cell r="AC151">
            <v>1</v>
          </cell>
          <cell r="AD151">
            <v>1</v>
          </cell>
          <cell r="AE151">
            <v>1</v>
          </cell>
          <cell r="AF151">
            <v>1</v>
          </cell>
          <cell r="AG151">
            <v>1</v>
          </cell>
          <cell r="AH151">
            <v>1</v>
          </cell>
          <cell r="AI151">
            <v>1</v>
          </cell>
          <cell r="AJ151">
            <v>1</v>
          </cell>
          <cell r="AK151">
            <v>1</v>
          </cell>
          <cell r="AL151">
            <v>1</v>
          </cell>
          <cell r="AN151">
            <v>3874.2951002987625</v>
          </cell>
          <cell r="AO151">
            <v>3874.2951002987625</v>
          </cell>
          <cell r="AP151">
            <v>3874.2951002987625</v>
          </cell>
          <cell r="AQ151">
            <v>3874.2951002987625</v>
          </cell>
          <cell r="AR151">
            <v>3874.2951002987625</v>
          </cell>
          <cell r="AS151">
            <v>3874.2951002987625</v>
          </cell>
          <cell r="AT151">
            <v>3874.2951002987625</v>
          </cell>
          <cell r="AU151">
            <v>3874.2951002987625</v>
          </cell>
          <cell r="AV151">
            <v>3874.2951002987625</v>
          </cell>
          <cell r="AW151">
            <v>3874.2951002987625</v>
          </cell>
          <cell r="AX151">
            <v>3874.2951002987625</v>
          </cell>
          <cell r="AY151">
            <v>3874.2951002987625</v>
          </cell>
        </row>
        <row r="152">
          <cell r="A152" t="str">
            <v>EVOGENE</v>
          </cell>
          <cell r="B152"/>
          <cell r="C152" t="str">
            <v>SOW</v>
          </cell>
          <cell r="D152" t="str">
            <v>Platform</v>
          </cell>
          <cell r="E152" t="str">
            <v>Chemistry Lab</v>
          </cell>
          <cell r="F152">
            <v>200639458</v>
          </cell>
          <cell r="G152" t="str">
            <v>Dafna Mordechay</v>
          </cell>
          <cell r="H152">
            <v>1</v>
          </cell>
          <cell r="I152">
            <v>8800</v>
          </cell>
          <cell r="J152">
            <v>0</v>
          </cell>
          <cell r="K152">
            <v>8800</v>
          </cell>
          <cell r="L152">
            <v>813</v>
          </cell>
          <cell r="M152">
            <v>379.41</v>
          </cell>
          <cell r="N152">
            <v>157.5</v>
          </cell>
          <cell r="O152">
            <v>166.66666666666666</v>
          </cell>
          <cell r="P152">
            <v>0</v>
          </cell>
          <cell r="Q152">
            <v>572</v>
          </cell>
          <cell r="R152">
            <v>543.78424999999993</v>
          </cell>
          <cell r="S152">
            <v>733.33333333333326</v>
          </cell>
          <cell r="T152">
            <v>660</v>
          </cell>
          <cell r="U152">
            <v>50.160000000000004</v>
          </cell>
          <cell r="V152">
            <v>421.66666666666669</v>
          </cell>
          <cell r="W152">
            <v>0</v>
          </cell>
          <cell r="X152">
            <v>0</v>
          </cell>
          <cell r="Y152">
            <v>13297.520916666666</v>
          </cell>
          <cell r="AA152">
            <v>1</v>
          </cell>
          <cell r="AB152">
            <v>1</v>
          </cell>
          <cell r="AC152">
            <v>1</v>
          </cell>
          <cell r="AD152">
            <v>1</v>
          </cell>
          <cell r="AE152">
            <v>1</v>
          </cell>
          <cell r="AF152">
            <v>1</v>
          </cell>
          <cell r="AG152">
            <v>1</v>
          </cell>
          <cell r="AH152">
            <v>1</v>
          </cell>
          <cell r="AI152">
            <v>1</v>
          </cell>
          <cell r="AJ152">
            <v>1</v>
          </cell>
          <cell r="AK152">
            <v>1</v>
          </cell>
          <cell r="AL152">
            <v>1</v>
          </cell>
          <cell r="AN152">
            <v>3745.7805399061035</v>
          </cell>
          <cell r="AO152">
            <v>3745.7805399061035</v>
          </cell>
          <cell r="AP152">
            <v>3745.7805399061035</v>
          </cell>
          <cell r="AQ152">
            <v>3745.7805399061035</v>
          </cell>
          <cell r="AR152">
            <v>3745.7805399061035</v>
          </cell>
          <cell r="AS152">
            <v>3745.7805399061035</v>
          </cell>
          <cell r="AT152">
            <v>3745.7805399061035</v>
          </cell>
          <cell r="AU152">
            <v>3745.7805399061035</v>
          </cell>
          <cell r="AV152">
            <v>3745.7805399061035</v>
          </cell>
          <cell r="AW152">
            <v>3745.7805399061035</v>
          </cell>
          <cell r="AX152">
            <v>3745.7805399061035</v>
          </cell>
          <cell r="AY152">
            <v>3745.7805399061035</v>
          </cell>
        </row>
        <row r="153">
          <cell r="A153" t="str">
            <v>EVOGENE</v>
          </cell>
          <cell r="B153"/>
          <cell r="C153" t="str">
            <v>SOW</v>
          </cell>
          <cell r="D153" t="str">
            <v>Platform</v>
          </cell>
          <cell r="E153" t="str">
            <v>Phytopathology Lab</v>
          </cell>
          <cell r="F153">
            <v>314509340</v>
          </cell>
          <cell r="G153" t="str">
            <v>Anna Movchan</v>
          </cell>
          <cell r="H153">
            <v>1</v>
          </cell>
          <cell r="I153">
            <v>15500</v>
          </cell>
          <cell r="J153">
            <v>0</v>
          </cell>
          <cell r="K153">
            <v>15500</v>
          </cell>
          <cell r="L153">
            <v>813</v>
          </cell>
          <cell r="M153">
            <v>877.18</v>
          </cell>
          <cell r="N153">
            <v>157.5</v>
          </cell>
          <cell r="O153">
            <v>293.56060606060606</v>
          </cell>
          <cell r="P153">
            <v>0</v>
          </cell>
          <cell r="Q153">
            <v>1007.5</v>
          </cell>
          <cell r="R153">
            <v>1093.1340454545457</v>
          </cell>
          <cell r="S153">
            <v>1291.6666666666665</v>
          </cell>
          <cell r="T153">
            <v>1162.5</v>
          </cell>
          <cell r="U153">
            <v>88.350000000000009</v>
          </cell>
          <cell r="V153">
            <v>742.70833333333337</v>
          </cell>
          <cell r="W153">
            <v>0</v>
          </cell>
          <cell r="X153">
            <v>0</v>
          </cell>
          <cell r="Y153">
            <v>23027.099651515153</v>
          </cell>
          <cell r="AA153">
            <v>1</v>
          </cell>
          <cell r="AB153">
            <v>1</v>
          </cell>
          <cell r="AC153">
            <v>1</v>
          </cell>
          <cell r="AD153">
            <v>1</v>
          </cell>
          <cell r="AE153">
            <v>1</v>
          </cell>
          <cell r="AF153">
            <v>1</v>
          </cell>
          <cell r="AG153">
            <v>1</v>
          </cell>
          <cell r="AH153">
            <v>1</v>
          </cell>
          <cell r="AI153">
            <v>1</v>
          </cell>
          <cell r="AJ153">
            <v>1</v>
          </cell>
          <cell r="AK153">
            <v>1</v>
          </cell>
          <cell r="AL153">
            <v>1</v>
          </cell>
          <cell r="AN153">
            <v>6486.5069440887755</v>
          </cell>
          <cell r="AO153">
            <v>6486.5069440887755</v>
          </cell>
          <cell r="AP153">
            <v>6486.5069440887755</v>
          </cell>
          <cell r="AQ153">
            <v>6486.5069440887755</v>
          </cell>
          <cell r="AR153">
            <v>6486.5069440887755</v>
          </cell>
          <cell r="AS153">
            <v>6486.5069440887755</v>
          </cell>
          <cell r="AT153">
            <v>6486.5069440887755</v>
          </cell>
          <cell r="AU153">
            <v>6486.5069440887755</v>
          </cell>
          <cell r="AV153">
            <v>6486.5069440887755</v>
          </cell>
          <cell r="AW153">
            <v>6486.5069440887755</v>
          </cell>
          <cell r="AX153">
            <v>6486.5069440887755</v>
          </cell>
          <cell r="AY153">
            <v>6486.5069440887755</v>
          </cell>
        </row>
        <row r="154">
          <cell r="A154" t="str">
            <v>EVOGENE</v>
          </cell>
          <cell r="B154"/>
          <cell r="C154" t="str">
            <v>SOW</v>
          </cell>
          <cell r="D154" t="str">
            <v>Platform</v>
          </cell>
          <cell r="E154" t="str">
            <v>Phytopathology Lab</v>
          </cell>
          <cell r="F154">
            <v>319222121</v>
          </cell>
          <cell r="G154" t="str">
            <v>Rozelia Bendov</v>
          </cell>
          <cell r="H154">
            <v>1</v>
          </cell>
          <cell r="I154">
            <v>10250</v>
          </cell>
          <cell r="J154">
            <v>0</v>
          </cell>
          <cell r="K154">
            <v>10250</v>
          </cell>
          <cell r="L154">
            <v>813</v>
          </cell>
          <cell r="M154">
            <v>219.56</v>
          </cell>
          <cell r="N154">
            <v>220.5</v>
          </cell>
          <cell r="O154">
            <v>194.12878787878788</v>
          </cell>
          <cell r="P154">
            <v>0</v>
          </cell>
          <cell r="Q154">
            <v>666.25</v>
          </cell>
          <cell r="R154">
            <v>647.33015909090909</v>
          </cell>
          <cell r="S154">
            <v>854.16666666666663</v>
          </cell>
          <cell r="T154">
            <v>768.75</v>
          </cell>
          <cell r="U154">
            <v>58.425000000000004</v>
          </cell>
          <cell r="V154">
            <v>491.14583333333326</v>
          </cell>
          <cell r="W154">
            <v>0</v>
          </cell>
          <cell r="X154">
            <v>0</v>
          </cell>
          <cell r="Y154">
            <v>15183.256446969695</v>
          </cell>
          <cell r="AA154">
            <v>1</v>
          </cell>
          <cell r="AB154">
            <v>1</v>
          </cell>
          <cell r="AC154">
            <v>1</v>
          </cell>
          <cell r="AD154">
            <v>1</v>
          </cell>
          <cell r="AE154">
            <v>1</v>
          </cell>
          <cell r="AF154">
            <v>1</v>
          </cell>
          <cell r="AG154">
            <v>1</v>
          </cell>
          <cell r="AH154">
            <v>1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N154">
            <v>4276.9736470337175</v>
          </cell>
          <cell r="AO154">
            <v>4276.9736470337175</v>
          </cell>
          <cell r="AP154">
            <v>4276.9736470337175</v>
          </cell>
          <cell r="AQ154">
            <v>4276.9736470337175</v>
          </cell>
          <cell r="AR154">
            <v>4276.9736470337175</v>
          </cell>
          <cell r="AS154">
            <v>4276.9736470337175</v>
          </cell>
          <cell r="AT154">
            <v>4276.9736470337175</v>
          </cell>
          <cell r="AU154">
            <v>4276.9736470337175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</row>
        <row r="155">
          <cell r="A155" t="str">
            <v>EVOGENE</v>
          </cell>
          <cell r="B155"/>
          <cell r="C155" t="str">
            <v>SOW</v>
          </cell>
          <cell r="D155" t="str">
            <v>Platform</v>
          </cell>
          <cell r="E155" t="str">
            <v>Tissue Culture</v>
          </cell>
          <cell r="F155">
            <v>321429839</v>
          </cell>
          <cell r="G155" t="str">
            <v>Silvia Shaked</v>
          </cell>
          <cell r="H155">
            <v>1</v>
          </cell>
          <cell r="I155">
            <v>18500</v>
          </cell>
          <cell r="J155">
            <v>0</v>
          </cell>
          <cell r="K155">
            <v>18500</v>
          </cell>
          <cell r="L155">
            <v>813</v>
          </cell>
          <cell r="M155">
            <v>290.56</v>
          </cell>
          <cell r="N155">
            <v>220.5</v>
          </cell>
          <cell r="O155">
            <v>350.37878787878782</v>
          </cell>
          <cell r="P155">
            <v>0</v>
          </cell>
          <cell r="Q155">
            <v>1202.5</v>
          </cell>
          <cell r="R155">
            <v>1283.1239090909091</v>
          </cell>
          <cell r="S155">
            <v>1541.6666666666665</v>
          </cell>
          <cell r="T155">
            <v>1387.5</v>
          </cell>
          <cell r="U155">
            <v>105.45</v>
          </cell>
          <cell r="V155">
            <v>886.45833333333337</v>
          </cell>
          <cell r="W155">
            <v>0</v>
          </cell>
          <cell r="X155">
            <v>0</v>
          </cell>
          <cell r="Y155">
            <v>26581.137696969698</v>
          </cell>
          <cell r="AA155">
            <v>1</v>
          </cell>
          <cell r="AB155">
            <v>1</v>
          </cell>
          <cell r="AC155">
            <v>1</v>
          </cell>
          <cell r="AD155">
            <v>1</v>
          </cell>
          <cell r="AE155">
            <v>1</v>
          </cell>
          <cell r="AF155">
            <v>1</v>
          </cell>
          <cell r="AG155">
            <v>1</v>
          </cell>
          <cell r="AH155">
            <v>1</v>
          </cell>
          <cell r="AI155">
            <v>1</v>
          </cell>
          <cell r="AJ155">
            <v>1</v>
          </cell>
          <cell r="AK155">
            <v>1</v>
          </cell>
          <cell r="AL155">
            <v>1</v>
          </cell>
          <cell r="AN155">
            <v>7487.6444216816053</v>
          </cell>
          <cell r="AO155">
            <v>7487.6444216816053</v>
          </cell>
          <cell r="AP155">
            <v>7487.6444216816053</v>
          </cell>
          <cell r="AQ155">
            <v>7487.6444216816053</v>
          </cell>
          <cell r="AR155">
            <v>7487.6444216816053</v>
          </cell>
          <cell r="AS155">
            <v>7487.6444216816053</v>
          </cell>
          <cell r="AT155">
            <v>7487.6444216816053</v>
          </cell>
          <cell r="AU155">
            <v>7487.6444216816053</v>
          </cell>
          <cell r="AV155">
            <v>7487.6444216816053</v>
          </cell>
          <cell r="AW155">
            <v>7487.6444216816053</v>
          </cell>
          <cell r="AX155">
            <v>7487.6444216816053</v>
          </cell>
          <cell r="AY155">
            <v>7487.6444216816053</v>
          </cell>
        </row>
        <row r="156">
          <cell r="A156" t="str">
            <v>EVOGENE</v>
          </cell>
          <cell r="B156"/>
          <cell r="C156" t="str">
            <v>SOW</v>
          </cell>
          <cell r="D156" t="str">
            <v>Platform</v>
          </cell>
          <cell r="E156" t="str">
            <v>Phytopathology Lab</v>
          </cell>
          <cell r="F156">
            <v>323230219</v>
          </cell>
          <cell r="G156" t="str">
            <v>Yasmin Plotkin</v>
          </cell>
          <cell r="H156">
            <v>1</v>
          </cell>
          <cell r="I156">
            <v>7500</v>
          </cell>
          <cell r="J156">
            <v>0</v>
          </cell>
          <cell r="K156">
            <v>7500</v>
          </cell>
          <cell r="L156">
            <v>813</v>
          </cell>
          <cell r="M156">
            <v>175</v>
          </cell>
          <cell r="N156">
            <v>189</v>
          </cell>
          <cell r="O156">
            <v>142.04545454545456</v>
          </cell>
          <cell r="P156">
            <v>0</v>
          </cell>
          <cell r="Q156">
            <v>487.5</v>
          </cell>
          <cell r="R156">
            <v>431.46940909090904</v>
          </cell>
          <cell r="S156">
            <v>625</v>
          </cell>
          <cell r="T156">
            <v>562.5</v>
          </cell>
          <cell r="U156">
            <v>42.75</v>
          </cell>
          <cell r="V156">
            <v>359.375</v>
          </cell>
          <cell r="W156">
            <v>0</v>
          </cell>
          <cell r="X156">
            <v>0</v>
          </cell>
          <cell r="Y156">
            <v>11327.639863636363</v>
          </cell>
          <cell r="AA156">
            <v>1</v>
          </cell>
          <cell r="AB156">
            <v>1</v>
          </cell>
          <cell r="AC156">
            <v>1</v>
          </cell>
          <cell r="AD156">
            <v>1</v>
          </cell>
          <cell r="AE156">
            <v>1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N156">
            <v>3190.8844686299617</v>
          </cell>
          <cell r="AO156">
            <v>3190.8844686299617</v>
          </cell>
          <cell r="AP156">
            <v>3190.8844686299617</v>
          </cell>
          <cell r="AQ156">
            <v>3190.8844686299617</v>
          </cell>
          <cell r="AR156">
            <v>3190.8844686299617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</row>
        <row r="157">
          <cell r="A157"/>
          <cell r="B157"/>
          <cell r="D157"/>
          <cell r="I157"/>
          <cell r="J157"/>
          <cell r="K157"/>
          <cell r="L157"/>
          <cell r="M157"/>
          <cell r="N157"/>
          <cell r="O157"/>
          <cell r="P157"/>
          <cell r="Q157">
            <v>0</v>
          </cell>
          <cell r="R157"/>
          <cell r="S157">
            <v>0</v>
          </cell>
          <cell r="T157">
            <v>0</v>
          </cell>
          <cell r="U157">
            <v>0</v>
          </cell>
          <cell r="V157"/>
          <cell r="W157"/>
          <cell r="X157"/>
          <cell r="Y157" t="str">
            <v/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N157" t="str">
            <v/>
          </cell>
          <cell r="AO157" t="str">
            <v/>
          </cell>
          <cell r="AP157" t="str">
            <v/>
          </cell>
          <cell r="AQ157" t="str">
            <v/>
          </cell>
          <cell r="AR157" t="str">
            <v/>
          </cell>
          <cell r="AS157" t="str">
            <v/>
          </cell>
          <cell r="AT157" t="str">
            <v/>
          </cell>
          <cell r="AU157" t="str">
            <v/>
          </cell>
          <cell r="AV157" t="str">
            <v/>
          </cell>
          <cell r="AW157" t="str">
            <v/>
          </cell>
          <cell r="AX157" t="str">
            <v/>
          </cell>
          <cell r="AY157" t="str">
            <v/>
          </cell>
        </row>
        <row r="158">
          <cell r="A158"/>
          <cell r="B158"/>
          <cell r="D158"/>
          <cell r="I158"/>
          <cell r="J158"/>
          <cell r="K158"/>
          <cell r="L158"/>
          <cell r="M158"/>
          <cell r="N158"/>
          <cell r="O158"/>
          <cell r="P158"/>
          <cell r="Q158">
            <v>0</v>
          </cell>
          <cell r="R158"/>
          <cell r="S158">
            <v>0</v>
          </cell>
          <cell r="T158">
            <v>0</v>
          </cell>
          <cell r="U158">
            <v>0</v>
          </cell>
          <cell r="V158"/>
          <cell r="W158"/>
          <cell r="X158"/>
          <cell r="Y158" t="str">
            <v/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N158" t="str">
            <v/>
          </cell>
          <cell r="AO158" t="str">
            <v/>
          </cell>
          <cell r="AP158" t="str">
            <v/>
          </cell>
          <cell r="AQ158" t="str">
            <v/>
          </cell>
          <cell r="AR158" t="str">
            <v/>
          </cell>
          <cell r="AS158" t="str">
            <v/>
          </cell>
          <cell r="AT158" t="str">
            <v/>
          </cell>
          <cell r="AU158" t="str">
            <v/>
          </cell>
          <cell r="AV158" t="str">
            <v/>
          </cell>
          <cell r="AW158" t="str">
            <v/>
          </cell>
          <cell r="AX158" t="str">
            <v/>
          </cell>
          <cell r="AY158" t="str">
            <v/>
          </cell>
        </row>
        <row r="159">
          <cell r="A159" t="str">
            <v>EVOGENE</v>
          </cell>
          <cell r="B159"/>
          <cell r="C159" t="str">
            <v>Non SOW</v>
          </cell>
          <cell r="D159" t="str">
            <v>Corporate</v>
          </cell>
          <cell r="E159" t="str">
            <v>Exec MGMT - NonSOW</v>
          </cell>
          <cell r="F159">
            <v>17497520</v>
          </cell>
          <cell r="G159" t="str">
            <v>Alex Taskar</v>
          </cell>
          <cell r="H159">
            <v>1</v>
          </cell>
          <cell r="I159">
            <v>43000</v>
          </cell>
          <cell r="J159">
            <v>0</v>
          </cell>
          <cell r="K159">
            <v>43000</v>
          </cell>
          <cell r="L159">
            <v>813</v>
          </cell>
          <cell r="M159">
            <v>3000</v>
          </cell>
          <cell r="N159">
            <v>157.5</v>
          </cell>
          <cell r="O159">
            <v>814.39393939393938</v>
          </cell>
          <cell r="P159">
            <v>120</v>
          </cell>
          <cell r="Q159">
            <v>2795</v>
          </cell>
          <cell r="R159">
            <v>3013.0410000000002</v>
          </cell>
          <cell r="S159">
            <v>3583.333333333333</v>
          </cell>
          <cell r="T159">
            <v>3225</v>
          </cell>
          <cell r="U159">
            <v>245.10000000000002</v>
          </cell>
          <cell r="V159">
            <v>7166.666666666667</v>
          </cell>
          <cell r="W159">
            <v>0</v>
          </cell>
          <cell r="X159">
            <v>0</v>
          </cell>
          <cell r="Y159">
            <v>67933.03493939394</v>
          </cell>
          <cell r="AA159">
            <v>1</v>
          </cell>
          <cell r="AB159">
            <v>1</v>
          </cell>
          <cell r="AC159">
            <v>1</v>
          </cell>
          <cell r="AD159">
            <v>1</v>
          </cell>
          <cell r="AE159">
            <v>1</v>
          </cell>
          <cell r="AF159">
            <v>1</v>
          </cell>
          <cell r="AG159">
            <v>1</v>
          </cell>
          <cell r="AH159">
            <v>1</v>
          </cell>
          <cell r="AI159">
            <v>1</v>
          </cell>
          <cell r="AJ159">
            <v>1</v>
          </cell>
          <cell r="AK159">
            <v>1</v>
          </cell>
          <cell r="AL159">
            <v>1</v>
          </cell>
          <cell r="AN159">
            <v>19136.066180110971</v>
          </cell>
          <cell r="AO159">
            <v>19136.066180110971</v>
          </cell>
          <cell r="AP159">
            <v>19136.066180110971</v>
          </cell>
          <cell r="AQ159">
            <v>19136.066180110971</v>
          </cell>
          <cell r="AR159">
            <v>19136.066180110971</v>
          </cell>
          <cell r="AS159">
            <v>19136.066180110971</v>
          </cell>
          <cell r="AT159">
            <v>19136.066180110971</v>
          </cell>
          <cell r="AU159">
            <v>19136.066180110971</v>
          </cell>
          <cell r="AV159">
            <v>19136.066180110971</v>
          </cell>
          <cell r="AW159">
            <v>19136.066180110971</v>
          </cell>
          <cell r="AX159">
            <v>19136.066180110971</v>
          </cell>
          <cell r="AY159">
            <v>19136.066180110971</v>
          </cell>
        </row>
        <row r="160">
          <cell r="A160" t="str">
            <v>EVOGENE</v>
          </cell>
          <cell r="B160"/>
          <cell r="C160" t="str">
            <v>Non SOW</v>
          </cell>
          <cell r="D160" t="str">
            <v>Corporate</v>
          </cell>
          <cell r="E160" t="str">
            <v>Exec MGMT - NonSOW</v>
          </cell>
          <cell r="F160">
            <v>22399851</v>
          </cell>
          <cell r="G160" t="str">
            <v>Ofer Haviv</v>
          </cell>
          <cell r="H160">
            <v>1</v>
          </cell>
          <cell r="I160">
            <v>75000</v>
          </cell>
          <cell r="J160">
            <v>0</v>
          </cell>
          <cell r="K160">
            <v>75000</v>
          </cell>
          <cell r="L160">
            <v>813</v>
          </cell>
          <cell r="M160">
            <v>6000</v>
          </cell>
          <cell r="N160">
            <v>252</v>
          </cell>
          <cell r="O160">
            <v>1420.4545454545453</v>
          </cell>
          <cell r="P160">
            <v>150</v>
          </cell>
          <cell r="Q160">
            <v>4875</v>
          </cell>
          <cell r="R160">
            <v>3013.0410000000002</v>
          </cell>
          <cell r="S160">
            <v>6250</v>
          </cell>
          <cell r="T160">
            <v>5625</v>
          </cell>
          <cell r="U160">
            <v>2500</v>
          </cell>
          <cell r="V160">
            <v>18750</v>
          </cell>
          <cell r="W160"/>
          <cell r="X160">
            <v>2000</v>
          </cell>
          <cell r="Y160">
            <v>126648.49554545454</v>
          </cell>
          <cell r="AA160">
            <v>0.7</v>
          </cell>
          <cell r="AB160">
            <v>0.7</v>
          </cell>
          <cell r="AC160">
            <v>0.7</v>
          </cell>
          <cell r="AD160">
            <v>0.7</v>
          </cell>
          <cell r="AE160">
            <v>0.7</v>
          </cell>
          <cell r="AF160">
            <v>0.7</v>
          </cell>
          <cell r="AG160">
            <v>0.7</v>
          </cell>
          <cell r="AH160">
            <v>0.7</v>
          </cell>
          <cell r="AI160">
            <v>0.7</v>
          </cell>
          <cell r="AJ160">
            <v>0.7</v>
          </cell>
          <cell r="AK160">
            <v>0.7</v>
          </cell>
          <cell r="AL160">
            <v>0.7</v>
          </cell>
          <cell r="AN160">
            <v>24972.942783610757</v>
          </cell>
          <cell r="AO160">
            <v>24972.942783610757</v>
          </cell>
          <cell r="AP160">
            <v>24972.942783610757</v>
          </cell>
          <cell r="AQ160">
            <v>24972.942783610757</v>
          </cell>
          <cell r="AR160">
            <v>24972.942783610757</v>
          </cell>
          <cell r="AS160">
            <v>24972.942783610757</v>
          </cell>
          <cell r="AT160">
            <v>24972.942783610757</v>
          </cell>
          <cell r="AU160">
            <v>24972.942783610757</v>
          </cell>
          <cell r="AV160">
            <v>24972.942783610757</v>
          </cell>
          <cell r="AW160">
            <v>24972.942783610757</v>
          </cell>
          <cell r="AX160">
            <v>24972.942783610757</v>
          </cell>
          <cell r="AY160">
            <v>24972.942783610757</v>
          </cell>
        </row>
        <row r="161">
          <cell r="A161" t="str">
            <v>EVOGENE</v>
          </cell>
          <cell r="B161"/>
          <cell r="C161" t="str">
            <v>Non SOW</v>
          </cell>
          <cell r="D161" t="str">
            <v>Corporate - Operations</v>
          </cell>
          <cell r="E161" t="str">
            <v>BD</v>
          </cell>
          <cell r="F161">
            <v>22399851</v>
          </cell>
          <cell r="G161" t="str">
            <v>Ofer Haviv</v>
          </cell>
          <cell r="H161">
            <v>1</v>
          </cell>
          <cell r="I161">
            <v>75000</v>
          </cell>
          <cell r="J161">
            <v>0</v>
          </cell>
          <cell r="K161">
            <v>75000</v>
          </cell>
          <cell r="L161">
            <v>813</v>
          </cell>
          <cell r="M161">
            <v>6000</v>
          </cell>
          <cell r="N161">
            <v>252</v>
          </cell>
          <cell r="O161">
            <v>1420.4545454545453</v>
          </cell>
          <cell r="P161">
            <v>150</v>
          </cell>
          <cell r="Q161">
            <v>4875</v>
          </cell>
          <cell r="R161">
            <v>3013.0410000000002</v>
          </cell>
          <cell r="S161">
            <v>6250</v>
          </cell>
          <cell r="T161">
            <v>5625</v>
          </cell>
          <cell r="U161">
            <v>2500</v>
          </cell>
          <cell r="V161">
            <v>18750</v>
          </cell>
          <cell r="W161"/>
          <cell r="X161">
            <v>2000</v>
          </cell>
          <cell r="Y161">
            <v>126648.49554545454</v>
          </cell>
          <cell r="AA161">
            <v>0.3</v>
          </cell>
          <cell r="AB161">
            <v>0.3</v>
          </cell>
          <cell r="AC161">
            <v>0.3</v>
          </cell>
          <cell r="AD161">
            <v>0.3</v>
          </cell>
          <cell r="AE161">
            <v>0.3</v>
          </cell>
          <cell r="AF161">
            <v>0.3</v>
          </cell>
          <cell r="AG161">
            <v>0.3</v>
          </cell>
          <cell r="AH161">
            <v>0.3</v>
          </cell>
          <cell r="AI161">
            <v>0.3</v>
          </cell>
          <cell r="AJ161">
            <v>0.3</v>
          </cell>
          <cell r="AK161">
            <v>0.3</v>
          </cell>
          <cell r="AL161">
            <v>0.3</v>
          </cell>
          <cell r="AN161">
            <v>10702.689764404609</v>
          </cell>
          <cell r="AO161">
            <v>10702.689764404609</v>
          </cell>
          <cell r="AP161">
            <v>10702.689764404609</v>
          </cell>
          <cell r="AQ161">
            <v>10702.689764404609</v>
          </cell>
          <cell r="AR161">
            <v>10702.689764404609</v>
          </cell>
          <cell r="AS161">
            <v>10702.689764404609</v>
          </cell>
          <cell r="AT161">
            <v>10702.689764404609</v>
          </cell>
          <cell r="AU161">
            <v>10702.689764404609</v>
          </cell>
          <cell r="AV161">
            <v>10702.689764404609</v>
          </cell>
          <cell r="AW161">
            <v>10702.689764404609</v>
          </cell>
          <cell r="AX161">
            <v>10702.689764404609</v>
          </cell>
          <cell r="AY161">
            <v>10702.689764404609</v>
          </cell>
        </row>
        <row r="162">
          <cell r="A162" t="str">
            <v>EVOGENE</v>
          </cell>
          <cell r="B162"/>
          <cell r="C162" t="str">
            <v>SOW</v>
          </cell>
          <cell r="D162" t="str">
            <v>Platform</v>
          </cell>
          <cell r="E162" t="str">
            <v>Platform Exec. MGMT</v>
          </cell>
          <cell r="F162">
            <v>29503216</v>
          </cell>
          <cell r="G162" t="str">
            <v>Yuval Ben Galim</v>
          </cell>
          <cell r="H162">
            <v>1</v>
          </cell>
          <cell r="I162">
            <v>45000</v>
          </cell>
          <cell r="J162">
            <v>0</v>
          </cell>
          <cell r="K162">
            <v>45000</v>
          </cell>
          <cell r="L162">
            <v>813</v>
          </cell>
          <cell r="M162">
            <v>3000</v>
          </cell>
          <cell r="N162">
            <v>157.5</v>
          </cell>
          <cell r="O162">
            <v>852.27272727272737</v>
          </cell>
          <cell r="P162">
            <v>150</v>
          </cell>
          <cell r="Q162">
            <v>2925</v>
          </cell>
          <cell r="R162">
            <v>3013.0410000000002</v>
          </cell>
          <cell r="S162">
            <v>3750</v>
          </cell>
          <cell r="T162">
            <v>3375</v>
          </cell>
          <cell r="U162">
            <v>256.5</v>
          </cell>
          <cell r="V162">
            <v>7500</v>
          </cell>
          <cell r="W162"/>
          <cell r="X162"/>
          <cell r="Y162">
            <v>70792.313727272733</v>
          </cell>
          <cell r="AA162">
            <v>1</v>
          </cell>
          <cell r="AB162">
            <v>1</v>
          </cell>
          <cell r="AC162">
            <v>1</v>
          </cell>
          <cell r="AD162">
            <v>1</v>
          </cell>
          <cell r="AE162">
            <v>1</v>
          </cell>
          <cell r="AF162">
            <v>1</v>
          </cell>
          <cell r="AG162">
            <v>1</v>
          </cell>
          <cell r="AH162">
            <v>1</v>
          </cell>
          <cell r="AI162">
            <v>1</v>
          </cell>
          <cell r="AJ162">
            <v>1</v>
          </cell>
          <cell r="AK162">
            <v>1</v>
          </cell>
          <cell r="AL162">
            <v>1</v>
          </cell>
          <cell r="AN162">
            <v>19941.496824583868</v>
          </cell>
          <cell r="AO162">
            <v>19941.496824583868</v>
          </cell>
          <cell r="AP162">
            <v>19941.496824583868</v>
          </cell>
          <cell r="AQ162">
            <v>19941.496824583868</v>
          </cell>
          <cell r="AR162">
            <v>19941.496824583868</v>
          </cell>
          <cell r="AS162">
            <v>19941.496824583868</v>
          </cell>
          <cell r="AT162">
            <v>19941.496824583868</v>
          </cell>
          <cell r="AU162">
            <v>19941.496824583868</v>
          </cell>
          <cell r="AV162">
            <v>19941.496824583868</v>
          </cell>
          <cell r="AW162">
            <v>19941.496824583868</v>
          </cell>
          <cell r="AX162">
            <v>19941.496824583868</v>
          </cell>
          <cell r="AY162">
            <v>19941.496824583868</v>
          </cell>
        </row>
        <row r="163">
          <cell r="A163" t="str">
            <v>EVOGENE</v>
          </cell>
          <cell r="B163"/>
          <cell r="C163" t="str">
            <v>SOW</v>
          </cell>
          <cell r="D163" t="str">
            <v>Ag-Chemistry</v>
          </cell>
          <cell r="E163" t="str">
            <v>Ag-Chem Exec. MGMT</v>
          </cell>
          <cell r="F163">
            <v>33898156</v>
          </cell>
          <cell r="G163" t="str">
            <v>Eran Kosover</v>
          </cell>
          <cell r="H163">
            <v>1</v>
          </cell>
          <cell r="I163">
            <v>43000</v>
          </cell>
          <cell r="J163">
            <v>-180</v>
          </cell>
          <cell r="K163">
            <v>42820</v>
          </cell>
          <cell r="L163">
            <v>813</v>
          </cell>
          <cell r="M163">
            <v>0</v>
          </cell>
          <cell r="N163">
            <v>189</v>
          </cell>
          <cell r="O163">
            <v>814.39393939393938</v>
          </cell>
          <cell r="P163">
            <v>150</v>
          </cell>
          <cell r="Q163">
            <v>2783.3</v>
          </cell>
          <cell r="R163">
            <v>3013.0410000000002</v>
          </cell>
          <cell r="S163">
            <v>3568.333333333333</v>
          </cell>
          <cell r="T163">
            <v>3211.5</v>
          </cell>
          <cell r="U163">
            <v>244.07400000000001</v>
          </cell>
          <cell r="V163">
            <v>7166.666666666667</v>
          </cell>
          <cell r="W163">
            <v>1561.9170250000002</v>
          </cell>
          <cell r="X163">
            <v>1500</v>
          </cell>
          <cell r="Y163">
            <v>67835.225964393932</v>
          </cell>
          <cell r="AA163">
            <v>1</v>
          </cell>
          <cell r="AB163">
            <v>1</v>
          </cell>
          <cell r="AC163">
            <v>1</v>
          </cell>
          <cell r="AD163">
            <v>1</v>
          </cell>
          <cell r="AE163">
            <v>1</v>
          </cell>
          <cell r="AF163">
            <v>1</v>
          </cell>
          <cell r="AG163">
            <v>1</v>
          </cell>
          <cell r="AH163">
            <v>1</v>
          </cell>
          <cell r="AI163">
            <v>1</v>
          </cell>
          <cell r="AJ163">
            <v>1</v>
          </cell>
          <cell r="AK163">
            <v>1</v>
          </cell>
          <cell r="AL163">
            <v>1</v>
          </cell>
          <cell r="AN163">
            <v>19108.514356167307</v>
          </cell>
          <cell r="AO163">
            <v>19108.514356167307</v>
          </cell>
          <cell r="AP163">
            <v>19108.514356167307</v>
          </cell>
          <cell r="AQ163">
            <v>19108.514356167307</v>
          </cell>
          <cell r="AR163">
            <v>19108.514356167307</v>
          </cell>
          <cell r="AS163">
            <v>19108.514356167307</v>
          </cell>
          <cell r="AT163">
            <v>19108.514356167307</v>
          </cell>
          <cell r="AU163">
            <v>19108.514356167307</v>
          </cell>
          <cell r="AV163">
            <v>19108.514356167307</v>
          </cell>
          <cell r="AW163">
            <v>19108.514356167307</v>
          </cell>
          <cell r="AX163">
            <v>19108.514356167307</v>
          </cell>
          <cell r="AY163">
            <v>19108.514356167307</v>
          </cell>
        </row>
        <row r="164">
          <cell r="A164" t="str">
            <v>EVOGENE</v>
          </cell>
          <cell r="B164"/>
          <cell r="C164" t="str">
            <v>SOW</v>
          </cell>
          <cell r="D164" t="str">
            <v>Ag-Biologicals</v>
          </cell>
          <cell r="E164" t="str">
            <v>Ag-Bio Exec. MGMT</v>
          </cell>
          <cell r="F164">
            <v>38363842</v>
          </cell>
          <cell r="G164" t="str">
            <v>Ido Dor</v>
          </cell>
          <cell r="H164">
            <v>1</v>
          </cell>
          <cell r="I164">
            <v>43000</v>
          </cell>
          <cell r="J164">
            <v>-489</v>
          </cell>
          <cell r="K164">
            <v>42511</v>
          </cell>
          <cell r="L164">
            <v>813</v>
          </cell>
          <cell r="M164">
            <v>0</v>
          </cell>
          <cell r="N164">
            <v>220.5</v>
          </cell>
          <cell r="O164">
            <v>814.39393939393938</v>
          </cell>
          <cell r="P164">
            <v>150</v>
          </cell>
          <cell r="Q164">
            <v>2763.2150000000001</v>
          </cell>
          <cell r="R164">
            <v>3013.0410000000002</v>
          </cell>
          <cell r="S164">
            <v>3542.583333333333</v>
          </cell>
          <cell r="T164">
            <v>3188.3249999999998</v>
          </cell>
          <cell r="U164">
            <v>242.31270000000001</v>
          </cell>
          <cell r="V164">
            <v>7166.666666666667</v>
          </cell>
          <cell r="W164">
            <v>3500</v>
          </cell>
          <cell r="X164">
            <v>1500</v>
          </cell>
          <cell r="Y164">
            <v>69425.037639393937</v>
          </cell>
          <cell r="AA164">
            <v>1</v>
          </cell>
          <cell r="AB164">
            <v>1</v>
          </cell>
          <cell r="AC164">
            <v>1</v>
          </cell>
          <cell r="AD164">
            <v>1</v>
          </cell>
          <cell r="AE164">
            <v>1</v>
          </cell>
          <cell r="AF164">
            <v>1</v>
          </cell>
          <cell r="AG164">
            <v>1</v>
          </cell>
          <cell r="AH164">
            <v>1</v>
          </cell>
          <cell r="AI164">
            <v>1</v>
          </cell>
          <cell r="AJ164">
            <v>1</v>
          </cell>
          <cell r="AK164">
            <v>1</v>
          </cell>
          <cell r="AL164">
            <v>1</v>
          </cell>
          <cell r="AN164">
            <v>19556.348630815195</v>
          </cell>
          <cell r="AO164">
            <v>19556.348630815195</v>
          </cell>
          <cell r="AP164">
            <v>19556.348630815195</v>
          </cell>
          <cell r="AQ164">
            <v>19556.348630815195</v>
          </cell>
          <cell r="AR164">
            <v>19556.348630815195</v>
          </cell>
          <cell r="AS164">
            <v>19556.348630815195</v>
          </cell>
          <cell r="AT164">
            <v>19556.348630815195</v>
          </cell>
          <cell r="AU164">
            <v>19556.348630815195</v>
          </cell>
          <cell r="AV164">
            <v>19556.348630815195</v>
          </cell>
          <cell r="AW164">
            <v>19556.348630815195</v>
          </cell>
          <cell r="AX164">
            <v>19556.348630815195</v>
          </cell>
          <cell r="AY164">
            <v>19556.348630815195</v>
          </cell>
        </row>
        <row r="165">
          <cell r="A165" t="str">
            <v>EVOGENE</v>
          </cell>
          <cell r="B165"/>
          <cell r="C165" t="str">
            <v>SOW</v>
          </cell>
          <cell r="D165" t="str">
            <v>Ag-Biologicals</v>
          </cell>
          <cell r="E165" t="str">
            <v>Ag-Bio Exec. MGMT</v>
          </cell>
          <cell r="F165">
            <v>57311391</v>
          </cell>
          <cell r="G165" t="str">
            <v>Hagai Karchi</v>
          </cell>
          <cell r="H165">
            <v>1</v>
          </cell>
          <cell r="I165">
            <v>45000</v>
          </cell>
          <cell r="J165">
            <v>-844</v>
          </cell>
          <cell r="K165">
            <v>44156</v>
          </cell>
          <cell r="L165">
            <v>813</v>
          </cell>
          <cell r="M165">
            <v>0</v>
          </cell>
          <cell r="N165">
            <v>252</v>
          </cell>
          <cell r="O165">
            <v>852.27272727272737</v>
          </cell>
          <cell r="P165">
            <v>150</v>
          </cell>
          <cell r="Q165">
            <v>2870.14</v>
          </cell>
          <cell r="R165">
            <v>3013.0410000000002</v>
          </cell>
          <cell r="S165">
            <v>3679.6666666666665</v>
          </cell>
          <cell r="T165">
            <v>3311.7</v>
          </cell>
          <cell r="U165">
            <v>251.6892</v>
          </cell>
          <cell r="V165">
            <v>7500</v>
          </cell>
          <cell r="W165">
            <v>4000</v>
          </cell>
          <cell r="X165">
            <v>1700</v>
          </cell>
          <cell r="Y165">
            <v>72549.50959393938</v>
          </cell>
          <cell r="AA165">
            <v>1</v>
          </cell>
          <cell r="AB165">
            <v>1</v>
          </cell>
          <cell r="AC165">
            <v>1</v>
          </cell>
          <cell r="AD165">
            <v>1</v>
          </cell>
          <cell r="AE165">
            <v>1</v>
          </cell>
          <cell r="AF165">
            <v>1</v>
          </cell>
          <cell r="AG165">
            <v>1</v>
          </cell>
          <cell r="AH165">
            <v>1</v>
          </cell>
          <cell r="AI165">
            <v>1</v>
          </cell>
          <cell r="AJ165">
            <v>1</v>
          </cell>
          <cell r="AK165">
            <v>1</v>
          </cell>
          <cell r="AL165">
            <v>1</v>
          </cell>
          <cell r="AN165">
            <v>20436.481575757574</v>
          </cell>
          <cell r="AO165">
            <v>20436.481575757574</v>
          </cell>
          <cell r="AP165">
            <v>20436.481575757574</v>
          </cell>
          <cell r="AQ165">
            <v>20436.481575757574</v>
          </cell>
          <cell r="AR165">
            <v>20436.481575757574</v>
          </cell>
          <cell r="AS165">
            <v>20436.481575757574</v>
          </cell>
          <cell r="AT165">
            <v>20436.481575757574</v>
          </cell>
          <cell r="AU165">
            <v>20436.481575757574</v>
          </cell>
          <cell r="AV165">
            <v>20436.481575757574</v>
          </cell>
          <cell r="AW165">
            <v>20436.481575757574</v>
          </cell>
          <cell r="AX165">
            <v>20436.481575757574</v>
          </cell>
          <cell r="AY165">
            <v>20436.481575757574</v>
          </cell>
        </row>
        <row r="166">
          <cell r="A166"/>
          <cell r="B166"/>
          <cell r="D166"/>
          <cell r="I166"/>
          <cell r="J166"/>
          <cell r="K166"/>
          <cell r="L166"/>
          <cell r="M166"/>
          <cell r="N166"/>
          <cell r="O166"/>
          <cell r="P166"/>
          <cell r="Q166"/>
          <cell r="R166"/>
          <cell r="S166"/>
          <cell r="T166"/>
          <cell r="U166"/>
          <cell r="V166"/>
          <cell r="W166"/>
          <cell r="X166"/>
          <cell r="Y166"/>
          <cell r="AA166"/>
          <cell r="AB166"/>
          <cell r="AC166"/>
          <cell r="AD166"/>
          <cell r="AE166"/>
          <cell r="AF166"/>
          <cell r="AG166"/>
          <cell r="AH166"/>
          <cell r="AI166"/>
          <cell r="AJ166"/>
          <cell r="AK166"/>
          <cell r="AL166"/>
          <cell r="AN166"/>
          <cell r="AO166"/>
          <cell r="AP166"/>
          <cell r="AQ166"/>
          <cell r="AR166"/>
          <cell r="AS166"/>
          <cell r="AT166"/>
          <cell r="AU166"/>
          <cell r="AV166"/>
          <cell r="AW166"/>
          <cell r="AX166"/>
          <cell r="AY166"/>
        </row>
        <row r="167">
          <cell r="A167" t="str">
            <v>EVOGENE</v>
          </cell>
          <cell r="B167">
            <v>7</v>
          </cell>
          <cell r="C167" t="str">
            <v>Non SOW</v>
          </cell>
          <cell r="D167" t="str">
            <v>Corporate</v>
          </cell>
          <cell r="E167" t="str">
            <v>HR</v>
          </cell>
          <cell r="F167">
            <v>14569529</v>
          </cell>
          <cell r="G167" t="str">
            <v>Lea Slonim</v>
          </cell>
          <cell r="H167">
            <v>0.85</v>
          </cell>
          <cell r="I167">
            <v>17000</v>
          </cell>
          <cell r="J167">
            <v>-2100</v>
          </cell>
          <cell r="K167">
            <v>17900</v>
          </cell>
          <cell r="L167">
            <v>813</v>
          </cell>
          <cell r="M167">
            <v>0</v>
          </cell>
          <cell r="N167">
            <v>214.2</v>
          </cell>
          <cell r="O167">
            <v>321.969696969697</v>
          </cell>
          <cell r="P167">
            <v>0</v>
          </cell>
          <cell r="Q167">
            <v>1163.5</v>
          </cell>
          <cell r="R167">
            <v>1213.7287272727272</v>
          </cell>
          <cell r="S167">
            <v>1491.6666666666665</v>
          </cell>
          <cell r="T167">
            <v>1342.5</v>
          </cell>
          <cell r="U167">
            <v>102.03</v>
          </cell>
          <cell r="V167">
            <v>958.33333333333337</v>
          </cell>
          <cell r="W167">
            <v>2520</v>
          </cell>
          <cell r="X167">
            <v>2000</v>
          </cell>
          <cell r="Y167">
            <v>30040.928424242422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</row>
        <row r="168">
          <cell r="A168" t="str">
            <v>EVOGENE</v>
          </cell>
          <cell r="B168">
            <v>7</v>
          </cell>
          <cell r="C168" t="str">
            <v>Non SOW</v>
          </cell>
          <cell r="D168" t="str">
            <v>Corporate</v>
          </cell>
          <cell r="E168" t="str">
            <v>HR</v>
          </cell>
          <cell r="F168">
            <v>36537231</v>
          </cell>
          <cell r="G168" t="str">
            <v>Sarit Levi Gamliel</v>
          </cell>
          <cell r="H168">
            <v>0.8</v>
          </cell>
          <cell r="I168">
            <v>6400</v>
          </cell>
          <cell r="J168">
            <v>0</v>
          </cell>
          <cell r="K168">
            <v>8000</v>
          </cell>
          <cell r="L168">
            <v>813</v>
          </cell>
          <cell r="M168">
            <v>227.27</v>
          </cell>
          <cell r="N168">
            <v>189</v>
          </cell>
          <cell r="O168">
            <v>121.21212121212123</v>
          </cell>
          <cell r="P168">
            <v>0</v>
          </cell>
          <cell r="Q168">
            <v>520</v>
          </cell>
          <cell r="R168">
            <v>471.32715909090916</v>
          </cell>
          <cell r="S168">
            <v>666.66666666666663</v>
          </cell>
          <cell r="T168">
            <v>600</v>
          </cell>
          <cell r="U168">
            <v>45.6</v>
          </cell>
          <cell r="V168">
            <v>383.33333333333331</v>
          </cell>
          <cell r="W168">
            <v>0</v>
          </cell>
          <cell r="X168">
            <v>0</v>
          </cell>
          <cell r="Y168">
            <v>12037.409280303033</v>
          </cell>
          <cell r="AA168">
            <v>0.8</v>
          </cell>
          <cell r="AB168">
            <v>0.8</v>
          </cell>
          <cell r="AC168">
            <v>0.8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0.8</v>
          </cell>
          <cell r="AK168">
            <v>0.8</v>
          </cell>
          <cell r="AL168">
            <v>0.8</v>
          </cell>
          <cell r="AN168">
            <v>2712.6556124626559</v>
          </cell>
          <cell r="AO168">
            <v>2712.6556124626559</v>
          </cell>
          <cell r="AP168">
            <v>2712.6556124626559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2712.6556124626559</v>
          </cell>
          <cell r="AX168">
            <v>2712.6556124626559</v>
          </cell>
          <cell r="AY168">
            <v>2712.6556124626559</v>
          </cell>
        </row>
        <row r="169">
          <cell r="A169" t="str">
            <v>EVOGENE</v>
          </cell>
          <cell r="B169">
            <v>7</v>
          </cell>
          <cell r="C169" t="str">
            <v>Non SOW</v>
          </cell>
          <cell r="D169" t="str">
            <v>Corporate</v>
          </cell>
          <cell r="E169" t="str">
            <v>HR</v>
          </cell>
          <cell r="F169">
            <v>388178540</v>
          </cell>
          <cell r="G169" t="str">
            <v>Ricki Lahav</v>
          </cell>
          <cell r="H169">
            <v>0.9</v>
          </cell>
          <cell r="I169">
            <v>7200</v>
          </cell>
          <cell r="J169">
            <v>0</v>
          </cell>
          <cell r="K169">
            <v>8000</v>
          </cell>
          <cell r="L169">
            <v>813</v>
          </cell>
          <cell r="M169">
            <v>568.17999999999995</v>
          </cell>
          <cell r="N169">
            <v>252</v>
          </cell>
          <cell r="O169">
            <v>136.36363636363635</v>
          </cell>
          <cell r="P169">
            <v>120</v>
          </cell>
          <cell r="Q169">
            <v>520</v>
          </cell>
          <cell r="R169">
            <v>511.75677272727273</v>
          </cell>
          <cell r="S169">
            <v>666.66666666666663</v>
          </cell>
          <cell r="T169">
            <v>600</v>
          </cell>
          <cell r="U169">
            <v>45.6</v>
          </cell>
          <cell r="V169">
            <v>383.33333333333331</v>
          </cell>
          <cell r="W169">
            <v>0</v>
          </cell>
          <cell r="X169">
            <v>0</v>
          </cell>
          <cell r="Y169">
            <v>12616.900409090909</v>
          </cell>
          <cell r="AA169">
            <v>0.9</v>
          </cell>
          <cell r="AB169">
            <v>0.9</v>
          </cell>
          <cell r="AC169">
            <v>0.9</v>
          </cell>
          <cell r="AD169">
            <v>0.9</v>
          </cell>
          <cell r="AE169">
            <v>0.9</v>
          </cell>
          <cell r="AF169">
            <v>0.9</v>
          </cell>
          <cell r="AG169">
            <v>0.9</v>
          </cell>
          <cell r="AH169">
            <v>0.9</v>
          </cell>
          <cell r="AI169">
            <v>0.9</v>
          </cell>
          <cell r="AJ169">
            <v>0.9</v>
          </cell>
          <cell r="AK169">
            <v>0.9</v>
          </cell>
          <cell r="AL169">
            <v>0.9</v>
          </cell>
          <cell r="AN169">
            <v>3198.6508079385408</v>
          </cell>
          <cell r="AO169">
            <v>3198.6508079385408</v>
          </cell>
          <cell r="AP169">
            <v>3198.6508079385408</v>
          </cell>
          <cell r="AQ169">
            <v>3198.6508079385408</v>
          </cell>
          <cell r="AR169">
            <v>3198.6508079385408</v>
          </cell>
          <cell r="AS169">
            <v>3198.6508079385408</v>
          </cell>
          <cell r="AT169">
            <v>3198.6508079385408</v>
          </cell>
          <cell r="AU169">
            <v>3198.6508079385408</v>
          </cell>
          <cell r="AV169">
            <v>3198.6508079385408</v>
          </cell>
          <cell r="AW169">
            <v>3198.6508079385408</v>
          </cell>
          <cell r="AX169">
            <v>3198.6508079385408</v>
          </cell>
          <cell r="AY169">
            <v>3198.6508079385408</v>
          </cell>
        </row>
        <row r="170">
          <cell r="A170" t="str">
            <v>EVOGENE</v>
          </cell>
          <cell r="B170">
            <v>7</v>
          </cell>
          <cell r="C170" t="str">
            <v>Non SOW</v>
          </cell>
          <cell r="D170" t="str">
            <v>Corporate</v>
          </cell>
          <cell r="E170" t="str">
            <v>HR</v>
          </cell>
          <cell r="F170">
            <v>43156504</v>
          </cell>
          <cell r="G170" t="str">
            <v>Anat Mulvidzon</v>
          </cell>
          <cell r="H170">
            <v>1</v>
          </cell>
          <cell r="I170">
            <v>8500</v>
          </cell>
          <cell r="J170">
            <v>0</v>
          </cell>
          <cell r="K170">
            <v>8500</v>
          </cell>
          <cell r="L170">
            <v>813</v>
          </cell>
          <cell r="M170">
            <v>379.41</v>
          </cell>
          <cell r="N170">
            <v>157.5</v>
          </cell>
          <cell r="O170">
            <v>160.9848484848485</v>
          </cell>
          <cell r="P170">
            <v>0</v>
          </cell>
          <cell r="Q170">
            <v>552.5</v>
          </cell>
          <cell r="R170">
            <v>520.85811363636367</v>
          </cell>
          <cell r="S170">
            <v>708.33333333333326</v>
          </cell>
          <cell r="T170">
            <v>637.5</v>
          </cell>
          <cell r="U170">
            <v>48.45</v>
          </cell>
          <cell r="V170">
            <v>407.29166666666669</v>
          </cell>
          <cell r="W170">
            <v>0</v>
          </cell>
          <cell r="X170">
            <v>0</v>
          </cell>
          <cell r="Y170">
            <v>12885.827962121213</v>
          </cell>
          <cell r="AA170">
            <v>1</v>
          </cell>
          <cell r="AB170">
            <v>1</v>
          </cell>
          <cell r="AC170">
            <v>1</v>
          </cell>
          <cell r="AD170">
            <v>1</v>
          </cell>
          <cell r="AE170">
            <v>1</v>
          </cell>
          <cell r="AF170">
            <v>1</v>
          </cell>
          <cell r="AG170">
            <v>1</v>
          </cell>
          <cell r="AH170">
            <v>1</v>
          </cell>
          <cell r="AI170">
            <v>1</v>
          </cell>
          <cell r="AJ170">
            <v>1</v>
          </cell>
          <cell r="AK170">
            <v>1</v>
          </cell>
          <cell r="AL170">
            <v>1</v>
          </cell>
          <cell r="AN170">
            <v>3629.8106935552714</v>
          </cell>
          <cell r="AO170">
            <v>3629.8106935552714</v>
          </cell>
          <cell r="AP170">
            <v>3629.8106935552714</v>
          </cell>
          <cell r="AQ170">
            <v>3629.8106935552714</v>
          </cell>
          <cell r="AR170">
            <v>3629.8106935552714</v>
          </cell>
          <cell r="AS170">
            <v>3629.8106935552714</v>
          </cell>
          <cell r="AT170">
            <v>3629.8106935552714</v>
          </cell>
          <cell r="AU170">
            <v>3629.8106935552714</v>
          </cell>
          <cell r="AV170">
            <v>3629.8106935552714</v>
          </cell>
          <cell r="AW170">
            <v>3629.8106935552714</v>
          </cell>
          <cell r="AX170">
            <v>3629.8106935552714</v>
          </cell>
          <cell r="AY170">
            <v>3629.8106935552714</v>
          </cell>
        </row>
        <row r="171">
          <cell r="A171" t="str">
            <v>EVOGENE</v>
          </cell>
          <cell r="B171">
            <v>7</v>
          </cell>
          <cell r="C171" t="str">
            <v>Non SOW</v>
          </cell>
          <cell r="D171" t="str">
            <v>Corporate</v>
          </cell>
          <cell r="E171" t="str">
            <v>HR</v>
          </cell>
          <cell r="F171">
            <v>60128568</v>
          </cell>
          <cell r="G171" t="str">
            <v>Sileat Saar</v>
          </cell>
          <cell r="H171">
            <v>0.9</v>
          </cell>
          <cell r="I171">
            <v>8500</v>
          </cell>
          <cell r="J171">
            <v>0</v>
          </cell>
          <cell r="K171">
            <v>9444.4444444444434</v>
          </cell>
          <cell r="L171">
            <v>813</v>
          </cell>
          <cell r="M171">
            <v>568.17999999999995</v>
          </cell>
          <cell r="N171">
            <v>157.5</v>
          </cell>
          <cell r="O171">
            <v>160.9848484848485</v>
          </cell>
          <cell r="P171">
            <v>120</v>
          </cell>
          <cell r="Q171">
            <v>613.8888888888888</v>
          </cell>
          <cell r="R171">
            <v>614.84919696969689</v>
          </cell>
          <cell r="S171">
            <v>787.03703703703695</v>
          </cell>
          <cell r="T171">
            <v>708.33333333333326</v>
          </cell>
          <cell r="U171">
            <v>53.833333333333329</v>
          </cell>
          <cell r="V171">
            <v>452.54629629629625</v>
          </cell>
          <cell r="W171">
            <v>0</v>
          </cell>
          <cell r="X171">
            <v>0</v>
          </cell>
          <cell r="Y171">
            <v>14494.597378787877</v>
          </cell>
          <cell r="AA171">
            <v>0.9</v>
          </cell>
          <cell r="AB171">
            <v>0.9</v>
          </cell>
          <cell r="AC171">
            <v>0.9</v>
          </cell>
          <cell r="AD171">
            <v>0.9</v>
          </cell>
          <cell r="AE171">
            <v>0.9</v>
          </cell>
          <cell r="AF171">
            <v>0.9</v>
          </cell>
          <cell r="AG171">
            <v>0.9</v>
          </cell>
          <cell r="AH171">
            <v>0.9</v>
          </cell>
          <cell r="AI171">
            <v>0.9</v>
          </cell>
          <cell r="AJ171">
            <v>0</v>
          </cell>
          <cell r="AK171">
            <v>0</v>
          </cell>
          <cell r="AL171">
            <v>0</v>
          </cell>
          <cell r="AN171">
            <v>3674.6866594110115</v>
          </cell>
          <cell r="AO171">
            <v>3674.6866594110115</v>
          </cell>
          <cell r="AP171">
            <v>3674.6866594110115</v>
          </cell>
          <cell r="AQ171">
            <v>3674.6866594110115</v>
          </cell>
          <cell r="AR171">
            <v>3674.6866594110115</v>
          </cell>
          <cell r="AS171">
            <v>3674.6866594110115</v>
          </cell>
          <cell r="AT171">
            <v>3674.6866594110115</v>
          </cell>
          <cell r="AU171">
            <v>3674.6866594110115</v>
          </cell>
          <cell r="AV171">
            <v>3674.6866594110115</v>
          </cell>
          <cell r="AW171">
            <v>0</v>
          </cell>
          <cell r="AX171">
            <v>0</v>
          </cell>
          <cell r="AY171">
            <v>0</v>
          </cell>
        </row>
        <row r="172">
          <cell r="A172" t="str">
            <v>EVOGENE</v>
          </cell>
          <cell r="B172">
            <v>7</v>
          </cell>
          <cell r="C172" t="str">
            <v>Non SOW</v>
          </cell>
          <cell r="D172" t="str">
            <v>Corporate</v>
          </cell>
          <cell r="E172" t="str">
            <v>HR</v>
          </cell>
          <cell r="F172">
            <v>60137247</v>
          </cell>
          <cell r="G172" t="str">
            <v>Mali Malkiel</v>
          </cell>
          <cell r="H172">
            <v>0.5</v>
          </cell>
          <cell r="I172">
            <v>3400</v>
          </cell>
          <cell r="J172">
            <v>0</v>
          </cell>
          <cell r="K172">
            <v>6800</v>
          </cell>
          <cell r="L172">
            <v>813</v>
          </cell>
          <cell r="M172">
            <v>202.07</v>
          </cell>
          <cell r="N172">
            <v>94.5</v>
          </cell>
          <cell r="O172">
            <v>64.393939393939391</v>
          </cell>
          <cell r="P172">
            <v>0</v>
          </cell>
          <cell r="Q172">
            <v>442</v>
          </cell>
          <cell r="R172">
            <v>368.08829545454546</v>
          </cell>
          <cell r="S172">
            <v>566.66666666666663</v>
          </cell>
          <cell r="T172">
            <v>510</v>
          </cell>
          <cell r="U172">
            <v>38.76</v>
          </cell>
          <cell r="V172">
            <v>325.83333333333331</v>
          </cell>
          <cell r="W172">
            <v>0</v>
          </cell>
          <cell r="X172">
            <v>0</v>
          </cell>
          <cell r="Y172">
            <v>10225.312234848485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</row>
        <row r="173">
          <cell r="A173"/>
          <cell r="B173"/>
          <cell r="D173"/>
          <cell r="I173"/>
          <cell r="J173"/>
          <cell r="K173"/>
          <cell r="L173"/>
          <cell r="M173"/>
          <cell r="N173"/>
          <cell r="O173"/>
          <cell r="P173"/>
          <cell r="Q173">
            <v>0</v>
          </cell>
          <cell r="R173"/>
          <cell r="S173">
            <v>0</v>
          </cell>
          <cell r="T173">
            <v>0</v>
          </cell>
          <cell r="U173">
            <v>0</v>
          </cell>
          <cell r="V173"/>
          <cell r="W173"/>
          <cell r="X173"/>
          <cell r="Y173" t="str">
            <v/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N173" t="str">
            <v/>
          </cell>
          <cell r="AO173" t="str">
            <v/>
          </cell>
          <cell r="AP173" t="str">
            <v/>
          </cell>
          <cell r="AQ173" t="str">
            <v/>
          </cell>
          <cell r="AR173" t="str">
            <v/>
          </cell>
          <cell r="AS173" t="str">
            <v/>
          </cell>
          <cell r="AT173" t="str">
            <v/>
          </cell>
          <cell r="AU173" t="str">
            <v/>
          </cell>
          <cell r="AV173" t="str">
            <v/>
          </cell>
          <cell r="AW173" t="str">
            <v/>
          </cell>
          <cell r="AX173" t="str">
            <v/>
          </cell>
          <cell r="AY173" t="str">
            <v/>
          </cell>
        </row>
        <row r="174">
          <cell r="A174" t="str">
            <v>EVOGENE</v>
          </cell>
          <cell r="B174">
            <v>7</v>
          </cell>
          <cell r="C174" t="str">
            <v>Non SOW</v>
          </cell>
          <cell r="D174" t="str">
            <v>Corporate</v>
          </cell>
          <cell r="E174" t="str">
            <v>Finance</v>
          </cell>
          <cell r="F174">
            <v>33799511</v>
          </cell>
          <cell r="G174" t="str">
            <v>Liz Katz</v>
          </cell>
          <cell r="H174">
            <v>1</v>
          </cell>
          <cell r="I174">
            <v>28000</v>
          </cell>
          <cell r="J174">
            <v>0</v>
          </cell>
          <cell r="K174">
            <v>28000</v>
          </cell>
          <cell r="L174">
            <v>813</v>
          </cell>
          <cell r="M174">
            <v>290.57</v>
          </cell>
          <cell r="N174">
            <v>157.5</v>
          </cell>
          <cell r="O174">
            <v>530.30303030303037</v>
          </cell>
          <cell r="P174">
            <v>120</v>
          </cell>
          <cell r="Q174">
            <v>1820</v>
          </cell>
          <cell r="R174">
            <v>2013.3939772727274</v>
          </cell>
          <cell r="S174">
            <v>2333.333333333333</v>
          </cell>
          <cell r="T174">
            <v>2100</v>
          </cell>
          <cell r="U174">
            <v>159.6</v>
          </cell>
          <cell r="V174">
            <v>1341.6666666666665</v>
          </cell>
          <cell r="W174">
            <v>0</v>
          </cell>
          <cell r="X174">
            <v>0</v>
          </cell>
          <cell r="Y174">
            <v>39679.367007575755</v>
          </cell>
          <cell r="AA174">
            <v>1</v>
          </cell>
          <cell r="AB174">
            <v>1</v>
          </cell>
          <cell r="AC174">
            <v>1</v>
          </cell>
          <cell r="AD174">
            <v>1</v>
          </cell>
          <cell r="AE174">
            <v>1</v>
          </cell>
          <cell r="AF174">
            <v>1</v>
          </cell>
          <cell r="AG174">
            <v>1</v>
          </cell>
          <cell r="AH174">
            <v>1</v>
          </cell>
          <cell r="AI174">
            <v>1</v>
          </cell>
          <cell r="AJ174">
            <v>1</v>
          </cell>
          <cell r="AK174">
            <v>1</v>
          </cell>
          <cell r="AL174">
            <v>1</v>
          </cell>
          <cell r="AN174">
            <v>11177.286481007255</v>
          </cell>
          <cell r="AO174">
            <v>11177.286481007255</v>
          </cell>
          <cell r="AP174">
            <v>11177.286481007255</v>
          </cell>
          <cell r="AQ174">
            <v>11177.286481007255</v>
          </cell>
          <cell r="AR174">
            <v>11177.286481007255</v>
          </cell>
          <cell r="AS174">
            <v>11177.286481007255</v>
          </cell>
          <cell r="AT174">
            <v>11177.286481007255</v>
          </cell>
          <cell r="AU174">
            <v>11177.286481007255</v>
          </cell>
          <cell r="AV174">
            <v>11177.286481007255</v>
          </cell>
          <cell r="AW174">
            <v>11177.286481007255</v>
          </cell>
          <cell r="AX174">
            <v>11177.286481007255</v>
          </cell>
          <cell r="AY174">
            <v>11177.286481007255</v>
          </cell>
        </row>
        <row r="175">
          <cell r="A175" t="str">
            <v>EVOGENE</v>
          </cell>
          <cell r="B175">
            <v>7</v>
          </cell>
          <cell r="C175" t="str">
            <v>Non SOW</v>
          </cell>
          <cell r="D175" t="str">
            <v>Corporate</v>
          </cell>
          <cell r="E175" t="str">
            <v>Finance</v>
          </cell>
          <cell r="F175">
            <v>36047116</v>
          </cell>
          <cell r="G175" t="str">
            <v>Livnat Achkenazi</v>
          </cell>
          <cell r="H175">
            <v>1</v>
          </cell>
          <cell r="I175">
            <v>9500</v>
          </cell>
          <cell r="J175">
            <v>0</v>
          </cell>
          <cell r="K175">
            <v>9500</v>
          </cell>
          <cell r="L175">
            <v>813</v>
          </cell>
          <cell r="M175">
            <v>568.17999999999995</v>
          </cell>
          <cell r="N175">
            <v>189</v>
          </cell>
          <cell r="O175">
            <v>179.92424242424241</v>
          </cell>
          <cell r="P175">
            <v>0</v>
          </cell>
          <cell r="Q175">
            <v>617.5</v>
          </cell>
          <cell r="R175">
            <v>613.79881818181821</v>
          </cell>
          <cell r="S175">
            <v>791.66666666666663</v>
          </cell>
          <cell r="T175">
            <v>712.5</v>
          </cell>
          <cell r="U175">
            <v>54.15</v>
          </cell>
          <cell r="V175">
            <v>455.20833333333331</v>
          </cell>
          <cell r="W175">
            <v>0</v>
          </cell>
          <cell r="X175">
            <v>0</v>
          </cell>
          <cell r="Y175">
            <v>14494.92806060606</v>
          </cell>
          <cell r="AA175">
            <v>1</v>
          </cell>
          <cell r="AB175">
            <v>1</v>
          </cell>
          <cell r="AC175">
            <v>0</v>
          </cell>
          <cell r="AD175">
            <v>0</v>
          </cell>
          <cell r="AE175"/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N175">
            <v>4083.0783269312847</v>
          </cell>
          <cell r="AO175">
            <v>4083.0783269312847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</row>
        <row r="176">
          <cell r="A176" t="str">
            <v>EVOGENE</v>
          </cell>
          <cell r="B176">
            <v>7</v>
          </cell>
          <cell r="C176" t="str">
            <v>Non SOW</v>
          </cell>
          <cell r="D176" t="str">
            <v>Corporate</v>
          </cell>
          <cell r="E176" t="str">
            <v>Finance</v>
          </cell>
          <cell r="F176">
            <v>37637543</v>
          </cell>
          <cell r="G176" t="str">
            <v>Osnat Dahan</v>
          </cell>
          <cell r="H176">
            <v>1</v>
          </cell>
          <cell r="I176">
            <v>9500</v>
          </cell>
          <cell r="J176">
            <v>0</v>
          </cell>
          <cell r="K176">
            <v>9500</v>
          </cell>
          <cell r="L176">
            <v>813</v>
          </cell>
          <cell r="M176">
            <v>568.17999999999995</v>
          </cell>
          <cell r="N176">
            <v>157.5</v>
          </cell>
          <cell r="O176">
            <v>179.92424242424241</v>
          </cell>
          <cell r="P176">
            <v>0</v>
          </cell>
          <cell r="Q176">
            <v>617.5</v>
          </cell>
          <cell r="R176">
            <v>611.43631818181825</v>
          </cell>
          <cell r="S176">
            <v>791.66666666666663</v>
          </cell>
          <cell r="T176">
            <v>712.5</v>
          </cell>
          <cell r="U176">
            <v>54.15</v>
          </cell>
          <cell r="V176">
            <v>455.20833333333331</v>
          </cell>
          <cell r="W176">
            <v>0</v>
          </cell>
          <cell r="X176">
            <v>0</v>
          </cell>
          <cell r="Y176">
            <v>14461.065560606061</v>
          </cell>
          <cell r="AA176">
            <v>1</v>
          </cell>
          <cell r="AB176">
            <v>1</v>
          </cell>
          <cell r="AC176">
            <v>1</v>
          </cell>
          <cell r="AD176">
            <v>1</v>
          </cell>
          <cell r="AE176">
            <v>1</v>
          </cell>
          <cell r="AF176">
            <v>1</v>
          </cell>
          <cell r="AG176">
            <v>1</v>
          </cell>
          <cell r="AH176">
            <v>1</v>
          </cell>
          <cell r="AI176">
            <v>1</v>
          </cell>
          <cell r="AJ176">
            <v>1</v>
          </cell>
          <cell r="AK176">
            <v>1</v>
          </cell>
          <cell r="AL176">
            <v>1</v>
          </cell>
          <cell r="AN176">
            <v>4073.5395945369187</v>
          </cell>
          <cell r="AO176">
            <v>4073.5395945369187</v>
          </cell>
          <cell r="AP176">
            <v>4073.5395945369187</v>
          </cell>
          <cell r="AQ176">
            <v>4073.5395945369187</v>
          </cell>
          <cell r="AR176">
            <v>4073.5395945369187</v>
          </cell>
          <cell r="AS176">
            <v>4073.5395945369187</v>
          </cell>
          <cell r="AT176">
            <v>4073.5395945369187</v>
          </cell>
          <cell r="AU176">
            <v>4073.5395945369187</v>
          </cell>
          <cell r="AV176">
            <v>4073.5395945369187</v>
          </cell>
          <cell r="AW176">
            <v>4073.5395945369187</v>
          </cell>
          <cell r="AX176">
            <v>4073.5395945369187</v>
          </cell>
          <cell r="AY176">
            <v>4073.5395945369187</v>
          </cell>
        </row>
        <row r="177">
          <cell r="A177" t="str">
            <v>EVOGENE</v>
          </cell>
          <cell r="B177">
            <v>7</v>
          </cell>
          <cell r="C177" t="str">
            <v>Non SOW</v>
          </cell>
          <cell r="D177" t="str">
            <v>Corporate</v>
          </cell>
          <cell r="E177" t="str">
            <v>Finance</v>
          </cell>
          <cell r="F177">
            <v>39273230</v>
          </cell>
          <cell r="G177" t="str">
            <v>Amir Weinberg</v>
          </cell>
          <cell r="H177">
            <v>1</v>
          </cell>
          <cell r="I177">
            <v>17500</v>
          </cell>
          <cell r="J177">
            <v>0</v>
          </cell>
          <cell r="K177">
            <v>17500</v>
          </cell>
          <cell r="L177">
            <v>813</v>
          </cell>
          <cell r="M177">
            <v>877.18</v>
          </cell>
          <cell r="N177">
            <v>158</v>
          </cell>
          <cell r="O177">
            <v>331.43939393939394</v>
          </cell>
          <cell r="P177">
            <v>0</v>
          </cell>
          <cell r="Q177">
            <v>1137.5</v>
          </cell>
          <cell r="R177">
            <v>1246.0124545454544</v>
          </cell>
          <cell r="S177">
            <v>1458.3333333333333</v>
          </cell>
          <cell r="T177">
            <v>1312.5</v>
          </cell>
          <cell r="U177">
            <v>99.75</v>
          </cell>
          <cell r="V177">
            <v>838.54166666666663</v>
          </cell>
          <cell r="W177">
            <v>0</v>
          </cell>
          <cell r="X177">
            <v>0</v>
          </cell>
          <cell r="Y177">
            <v>25772.256848484845</v>
          </cell>
          <cell r="AA177">
            <v>1</v>
          </cell>
          <cell r="AB177">
            <v>1</v>
          </cell>
          <cell r="AC177">
            <v>1</v>
          </cell>
          <cell r="AD177">
            <v>1</v>
          </cell>
          <cell r="AE177">
            <v>1</v>
          </cell>
          <cell r="AF177">
            <v>1</v>
          </cell>
          <cell r="AG177">
            <v>1</v>
          </cell>
          <cell r="AH177">
            <v>1</v>
          </cell>
          <cell r="AI177">
            <v>1</v>
          </cell>
          <cell r="AJ177">
            <v>1</v>
          </cell>
          <cell r="AK177">
            <v>1</v>
          </cell>
          <cell r="AL177">
            <v>1</v>
          </cell>
          <cell r="AN177">
            <v>7259.7906615450274</v>
          </cell>
          <cell r="AO177">
            <v>7259.7906615450274</v>
          </cell>
          <cell r="AP177">
            <v>7259.7906615450274</v>
          </cell>
          <cell r="AQ177">
            <v>7259.7906615450274</v>
          </cell>
          <cell r="AR177">
            <v>7259.7906615450274</v>
          </cell>
          <cell r="AS177">
            <v>7259.7906615450274</v>
          </cell>
          <cell r="AT177">
            <v>7259.7906615450274</v>
          </cell>
          <cell r="AU177">
            <v>7259.7906615450274</v>
          </cell>
          <cell r="AV177">
            <v>7259.7906615450274</v>
          </cell>
          <cell r="AW177">
            <v>7259.7906615450274</v>
          </cell>
          <cell r="AX177">
            <v>7259.7906615450274</v>
          </cell>
          <cell r="AY177">
            <v>7259.7906615450274</v>
          </cell>
        </row>
        <row r="178">
          <cell r="A178" t="str">
            <v>EVOGENE</v>
          </cell>
          <cell r="B178">
            <v>7</v>
          </cell>
          <cell r="C178" t="str">
            <v>Non SOW</v>
          </cell>
          <cell r="D178" t="str">
            <v>Corporate</v>
          </cell>
          <cell r="E178" t="str">
            <v>Finance</v>
          </cell>
          <cell r="F178">
            <v>311698609</v>
          </cell>
          <cell r="G178" t="str">
            <v>Alina Karimov</v>
          </cell>
          <cell r="H178">
            <v>1</v>
          </cell>
          <cell r="I178">
            <v>14000</v>
          </cell>
          <cell r="J178">
            <v>0</v>
          </cell>
          <cell r="K178">
            <v>14000</v>
          </cell>
          <cell r="L178">
            <v>813</v>
          </cell>
          <cell r="M178">
            <v>877.19</v>
          </cell>
          <cell r="N178">
            <v>220.5</v>
          </cell>
          <cell r="O178">
            <v>265.15151515151518</v>
          </cell>
          <cell r="P178">
            <v>0</v>
          </cell>
          <cell r="Q178">
            <v>910</v>
          </cell>
          <cell r="R178">
            <v>983.22911363636376</v>
          </cell>
          <cell r="S178">
            <v>1166.6666666666665</v>
          </cell>
          <cell r="T178">
            <v>1050</v>
          </cell>
          <cell r="U178">
            <v>79.8</v>
          </cell>
          <cell r="V178">
            <v>670.83333333333326</v>
          </cell>
          <cell r="W178">
            <v>0</v>
          </cell>
          <cell r="X178">
            <v>0</v>
          </cell>
          <cell r="Y178">
            <v>21036.370628787878</v>
          </cell>
          <cell r="AA178">
            <v>1</v>
          </cell>
          <cell r="AB178">
            <v>1</v>
          </cell>
          <cell r="AC178">
            <v>1</v>
          </cell>
          <cell r="AD178">
            <v>1</v>
          </cell>
          <cell r="AE178">
            <v>1</v>
          </cell>
          <cell r="AF178">
            <v>1</v>
          </cell>
          <cell r="AG178">
            <v>1</v>
          </cell>
          <cell r="AH178">
            <v>1</v>
          </cell>
          <cell r="AI178">
            <v>1</v>
          </cell>
          <cell r="AJ178">
            <v>1</v>
          </cell>
          <cell r="AK178">
            <v>1</v>
          </cell>
          <cell r="AL178">
            <v>1</v>
          </cell>
          <cell r="AN178">
            <v>5925.7382052923604</v>
          </cell>
          <cell r="AO178">
            <v>5925.7382052923604</v>
          </cell>
          <cell r="AP178">
            <v>5925.7382052923604</v>
          </cell>
          <cell r="AQ178">
            <v>5925.7382052923604</v>
          </cell>
          <cell r="AR178">
            <v>5925.7382052923604</v>
          </cell>
          <cell r="AS178">
            <v>5925.7382052923604</v>
          </cell>
          <cell r="AT178">
            <v>5925.7382052923604</v>
          </cell>
          <cell r="AU178">
            <v>5925.7382052923604</v>
          </cell>
          <cell r="AV178">
            <v>5925.7382052923604</v>
          </cell>
          <cell r="AW178">
            <v>5925.7382052923604</v>
          </cell>
          <cell r="AX178">
            <v>5925.7382052923604</v>
          </cell>
          <cell r="AY178">
            <v>5925.7382052923604</v>
          </cell>
        </row>
        <row r="179">
          <cell r="A179" t="str">
            <v>EVOGENE</v>
          </cell>
          <cell r="B179">
            <v>7</v>
          </cell>
          <cell r="C179" t="str">
            <v>Non SOW</v>
          </cell>
          <cell r="D179" t="str">
            <v>Corporate</v>
          </cell>
          <cell r="E179" t="str">
            <v>Purchasing</v>
          </cell>
          <cell r="F179">
            <v>17582859</v>
          </cell>
          <cell r="G179" t="str">
            <v>Luna Fridlender</v>
          </cell>
          <cell r="H179">
            <v>1</v>
          </cell>
          <cell r="I179">
            <v>13500</v>
          </cell>
          <cell r="J179">
            <v>0</v>
          </cell>
          <cell r="K179">
            <v>13500</v>
          </cell>
          <cell r="L179">
            <v>813</v>
          </cell>
          <cell r="M179">
            <v>368.42</v>
          </cell>
          <cell r="N179">
            <v>252</v>
          </cell>
          <cell r="O179">
            <v>255.68181818181816</v>
          </cell>
          <cell r="P179">
            <v>0</v>
          </cell>
          <cell r="Q179">
            <v>877.5</v>
          </cell>
          <cell r="R179">
            <v>909.22363636363639</v>
          </cell>
          <cell r="S179">
            <v>1125</v>
          </cell>
          <cell r="T179">
            <v>1012.5</v>
          </cell>
          <cell r="U179">
            <v>76.95</v>
          </cell>
          <cell r="V179">
            <v>646.87499999999989</v>
          </cell>
          <cell r="W179">
            <v>0</v>
          </cell>
          <cell r="X179">
            <v>0</v>
          </cell>
          <cell r="Y179">
            <v>19837.150454545455</v>
          </cell>
          <cell r="AA179">
            <v>1</v>
          </cell>
          <cell r="AB179">
            <v>1</v>
          </cell>
          <cell r="AC179">
            <v>1</v>
          </cell>
          <cell r="AD179">
            <v>1</v>
          </cell>
          <cell r="AE179">
            <v>1</v>
          </cell>
          <cell r="AF179">
            <v>1</v>
          </cell>
          <cell r="AG179">
            <v>1</v>
          </cell>
          <cell r="AH179">
            <v>1</v>
          </cell>
          <cell r="AI179">
            <v>1</v>
          </cell>
          <cell r="AJ179">
            <v>1</v>
          </cell>
          <cell r="AK179">
            <v>1</v>
          </cell>
          <cell r="AL179">
            <v>1</v>
          </cell>
          <cell r="AN179">
            <v>5587.9297055057623</v>
          </cell>
          <cell r="AO179">
            <v>5587.9297055057623</v>
          </cell>
          <cell r="AP179">
            <v>5587.9297055057623</v>
          </cell>
          <cell r="AQ179">
            <v>5587.9297055057623</v>
          </cell>
          <cell r="AR179">
            <v>5587.9297055057623</v>
          </cell>
          <cell r="AS179">
            <v>5587.9297055057623</v>
          </cell>
          <cell r="AT179">
            <v>5587.9297055057623</v>
          </cell>
          <cell r="AU179">
            <v>5587.9297055057623</v>
          </cell>
          <cell r="AV179">
            <v>5587.9297055057623</v>
          </cell>
          <cell r="AW179">
            <v>5587.9297055057623</v>
          </cell>
          <cell r="AX179">
            <v>5587.9297055057623</v>
          </cell>
          <cell r="AY179">
            <v>5587.9297055057623</v>
          </cell>
        </row>
        <row r="180">
          <cell r="A180" t="str">
            <v>EVOGENE</v>
          </cell>
          <cell r="B180">
            <v>8</v>
          </cell>
          <cell r="C180" t="str">
            <v>Non SOW</v>
          </cell>
          <cell r="D180" t="str">
            <v>Corporate</v>
          </cell>
          <cell r="E180" t="str">
            <v>Finance</v>
          </cell>
          <cell r="F180">
            <v>66060310</v>
          </cell>
          <cell r="G180" t="str">
            <v>Maya Zilbershtein</v>
          </cell>
          <cell r="H180">
            <v>0.8</v>
          </cell>
          <cell r="I180">
            <v>9600</v>
          </cell>
          <cell r="J180">
            <v>0</v>
          </cell>
          <cell r="K180">
            <v>12000</v>
          </cell>
          <cell r="L180">
            <v>813</v>
          </cell>
          <cell r="M180">
            <v>877</v>
          </cell>
          <cell r="N180">
            <v>158</v>
          </cell>
          <cell r="O180">
            <v>181.81818181818184</v>
          </cell>
          <cell r="P180"/>
          <cell r="Q180">
            <v>780</v>
          </cell>
          <cell r="R180">
            <v>822.27736363636359</v>
          </cell>
          <cell r="S180">
            <v>1000</v>
          </cell>
          <cell r="T180">
            <v>900</v>
          </cell>
          <cell r="U180">
            <v>68.400000000000006</v>
          </cell>
          <cell r="V180">
            <v>574.99999999999989</v>
          </cell>
          <cell r="W180">
            <v>0</v>
          </cell>
          <cell r="X180">
            <v>0</v>
          </cell>
          <cell r="Y180">
            <v>18175.495545454549</v>
          </cell>
          <cell r="AA180">
            <v>0.8</v>
          </cell>
          <cell r="AB180">
            <v>0.8</v>
          </cell>
          <cell r="AC180">
            <v>0.8</v>
          </cell>
          <cell r="AD180">
            <v>0.8</v>
          </cell>
          <cell r="AE180">
            <v>0.8</v>
          </cell>
          <cell r="AF180">
            <v>0.8</v>
          </cell>
          <cell r="AG180">
            <v>0.8</v>
          </cell>
          <cell r="AH180">
            <v>0.8</v>
          </cell>
          <cell r="AI180">
            <v>0.8</v>
          </cell>
          <cell r="AJ180">
            <v>0.8</v>
          </cell>
          <cell r="AK180">
            <v>0.8</v>
          </cell>
          <cell r="AL180">
            <v>0.8</v>
          </cell>
          <cell r="AN180">
            <v>4095.8863201024342</v>
          </cell>
          <cell r="AO180">
            <v>4095.8863201024342</v>
          </cell>
          <cell r="AP180">
            <v>4095.8863201024342</v>
          </cell>
          <cell r="AQ180">
            <v>4095.8863201024342</v>
          </cell>
          <cell r="AR180">
            <v>4095.8863201024342</v>
          </cell>
          <cell r="AS180">
            <v>4095.8863201024342</v>
          </cell>
          <cell r="AT180">
            <v>4095.8863201024342</v>
          </cell>
          <cell r="AU180">
            <v>4095.8863201024342</v>
          </cell>
          <cell r="AV180">
            <v>4095.8863201024342</v>
          </cell>
          <cell r="AW180">
            <v>4095.8863201024342</v>
          </cell>
          <cell r="AX180">
            <v>4095.8863201024342</v>
          </cell>
          <cell r="AY180">
            <v>4095.8863201024342</v>
          </cell>
        </row>
        <row r="181">
          <cell r="A181"/>
          <cell r="B181"/>
          <cell r="D181"/>
          <cell r="I181"/>
          <cell r="J181"/>
          <cell r="K181"/>
          <cell r="L181"/>
          <cell r="M181"/>
          <cell r="N181"/>
          <cell r="O181"/>
          <cell r="P181"/>
          <cell r="Q181">
            <v>0</v>
          </cell>
          <cell r="R181"/>
          <cell r="S181">
            <v>0</v>
          </cell>
          <cell r="T181">
            <v>0</v>
          </cell>
          <cell r="U181">
            <v>0</v>
          </cell>
          <cell r="V181"/>
          <cell r="W181"/>
          <cell r="X181"/>
          <cell r="Y181" t="str">
            <v/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N181" t="str">
            <v/>
          </cell>
          <cell r="AO181" t="str">
            <v/>
          </cell>
          <cell r="AP181" t="str">
            <v/>
          </cell>
          <cell r="AQ181" t="str">
            <v/>
          </cell>
          <cell r="AR181" t="str">
            <v/>
          </cell>
          <cell r="AS181" t="str">
            <v/>
          </cell>
          <cell r="AT181" t="str">
            <v/>
          </cell>
          <cell r="AU181" t="str">
            <v/>
          </cell>
          <cell r="AV181" t="str">
            <v/>
          </cell>
          <cell r="AW181" t="str">
            <v/>
          </cell>
          <cell r="AX181" t="str">
            <v/>
          </cell>
          <cell r="AY181" t="str">
            <v/>
          </cell>
        </row>
        <row r="182">
          <cell r="A182" t="str">
            <v>EVOGENE</v>
          </cell>
          <cell r="B182">
            <v>7</v>
          </cell>
          <cell r="C182" t="str">
            <v>Non SOW</v>
          </cell>
          <cell r="D182" t="str">
            <v>Corporate</v>
          </cell>
          <cell r="E182" t="str">
            <v>HR</v>
          </cell>
          <cell r="F182">
            <v>24872558</v>
          </cell>
          <cell r="G182" t="str">
            <v>Liron Reshef</v>
          </cell>
          <cell r="H182">
            <v>1</v>
          </cell>
          <cell r="I182">
            <v>26500</v>
          </cell>
          <cell r="J182">
            <v>-2052</v>
          </cell>
          <cell r="K182">
            <v>24448</v>
          </cell>
          <cell r="L182">
            <v>813</v>
          </cell>
          <cell r="M182">
            <v>0</v>
          </cell>
          <cell r="N182">
            <v>189</v>
          </cell>
          <cell r="O182">
            <v>501.89393939393932</v>
          </cell>
          <cell r="P182">
            <v>120</v>
          </cell>
          <cell r="Q182">
            <v>1589.1200000000001</v>
          </cell>
          <cell r="R182">
            <v>1725.4330454545454</v>
          </cell>
          <cell r="S182">
            <v>2037.3333333333333</v>
          </cell>
          <cell r="T182">
            <v>1833.6</v>
          </cell>
          <cell r="U182">
            <v>139.3536</v>
          </cell>
          <cell r="V182">
            <v>1269.7916666666665</v>
          </cell>
          <cell r="W182">
            <v>2500</v>
          </cell>
          <cell r="X182">
            <v>1300</v>
          </cell>
          <cell r="Y182">
            <v>38466.525584848481</v>
          </cell>
          <cell r="AA182">
            <v>1</v>
          </cell>
          <cell r="AB182">
            <v>1</v>
          </cell>
          <cell r="AC182">
            <v>1</v>
          </cell>
          <cell r="AD182">
            <v>1</v>
          </cell>
          <cell r="AE182">
            <v>1</v>
          </cell>
          <cell r="AF182">
            <v>1</v>
          </cell>
          <cell r="AG182">
            <v>1</v>
          </cell>
          <cell r="AH182">
            <v>1</v>
          </cell>
          <cell r="AI182">
            <v>1</v>
          </cell>
          <cell r="AJ182">
            <v>1</v>
          </cell>
          <cell r="AK182">
            <v>1</v>
          </cell>
          <cell r="AL182">
            <v>1</v>
          </cell>
          <cell r="AN182">
            <v>10835.641009816474</v>
          </cell>
          <cell r="AO182">
            <v>10835.641009816474</v>
          </cell>
          <cell r="AP182">
            <v>10835.641009816474</v>
          </cell>
          <cell r="AQ182">
            <v>10835.641009816474</v>
          </cell>
          <cell r="AR182">
            <v>10835.641009816474</v>
          </cell>
          <cell r="AS182">
            <v>10835.641009816474</v>
          </cell>
          <cell r="AT182">
            <v>10835.641009816474</v>
          </cell>
          <cell r="AU182">
            <v>10835.641009816474</v>
          </cell>
          <cell r="AV182">
            <v>10835.641009816474</v>
          </cell>
          <cell r="AW182">
            <v>10835.641009816474</v>
          </cell>
          <cell r="AX182">
            <v>10835.641009816474</v>
          </cell>
          <cell r="AY182">
            <v>10835.641009816474</v>
          </cell>
        </row>
        <row r="183">
          <cell r="A183" t="str">
            <v>EVOGENE</v>
          </cell>
          <cell r="B183">
            <v>7</v>
          </cell>
          <cell r="C183" t="str">
            <v>Non SOW</v>
          </cell>
          <cell r="D183" t="str">
            <v>Corporate</v>
          </cell>
          <cell r="E183" t="str">
            <v>HR</v>
          </cell>
          <cell r="F183">
            <v>300180973</v>
          </cell>
          <cell r="G183" t="str">
            <v>Liat Foigel</v>
          </cell>
          <cell r="H183">
            <v>1</v>
          </cell>
          <cell r="I183">
            <v>10500</v>
          </cell>
          <cell r="J183">
            <v>0</v>
          </cell>
          <cell r="K183">
            <v>10500</v>
          </cell>
          <cell r="L183">
            <v>813</v>
          </cell>
          <cell r="M183">
            <v>735.29</v>
          </cell>
          <cell r="N183">
            <v>157.5</v>
          </cell>
          <cell r="O183">
            <v>198.86363636363635</v>
          </cell>
          <cell r="P183">
            <v>0</v>
          </cell>
          <cell r="Q183">
            <v>682.5</v>
          </cell>
          <cell r="R183">
            <v>700.39002272727271</v>
          </cell>
          <cell r="S183">
            <v>875</v>
          </cell>
          <cell r="T183">
            <v>787.5</v>
          </cell>
          <cell r="U183">
            <v>59.85</v>
          </cell>
          <cell r="V183">
            <v>503.12499999999994</v>
          </cell>
          <cell r="W183">
            <v>0</v>
          </cell>
          <cell r="X183">
            <v>0</v>
          </cell>
          <cell r="Y183">
            <v>16013.018659090911</v>
          </cell>
          <cell r="AA183">
            <v>1</v>
          </cell>
          <cell r="AB183">
            <v>1</v>
          </cell>
          <cell r="AC183">
            <v>1</v>
          </cell>
          <cell r="AD183">
            <v>1</v>
          </cell>
          <cell r="AE183">
            <v>1</v>
          </cell>
          <cell r="AF183">
            <v>1</v>
          </cell>
          <cell r="AG183">
            <v>1</v>
          </cell>
          <cell r="AH183">
            <v>1</v>
          </cell>
          <cell r="AI183">
            <v>1</v>
          </cell>
          <cell r="AJ183">
            <v>1</v>
          </cell>
          <cell r="AK183">
            <v>1</v>
          </cell>
          <cell r="AL183">
            <v>1</v>
          </cell>
          <cell r="AN183">
            <v>4510.7094814340599</v>
          </cell>
          <cell r="AO183">
            <v>4510.7094814340599</v>
          </cell>
          <cell r="AP183">
            <v>4510.7094814340599</v>
          </cell>
          <cell r="AQ183">
            <v>4510.7094814340599</v>
          </cell>
          <cell r="AR183">
            <v>4510.7094814340599</v>
          </cell>
          <cell r="AS183">
            <v>4510.7094814340599</v>
          </cell>
          <cell r="AT183">
            <v>4510.7094814340599</v>
          </cell>
          <cell r="AU183">
            <v>4510.7094814340599</v>
          </cell>
          <cell r="AV183">
            <v>4510.7094814340599</v>
          </cell>
          <cell r="AW183">
            <v>4510.7094814340599</v>
          </cell>
          <cell r="AX183">
            <v>4510.7094814340599</v>
          </cell>
          <cell r="AY183">
            <v>4510.7094814340599</v>
          </cell>
        </row>
        <row r="184">
          <cell r="A184"/>
          <cell r="B184"/>
          <cell r="D184"/>
          <cell r="I184"/>
          <cell r="J184"/>
          <cell r="K184"/>
          <cell r="L184"/>
          <cell r="M184"/>
          <cell r="N184"/>
          <cell r="O184"/>
          <cell r="P184"/>
          <cell r="Q184">
            <v>0</v>
          </cell>
          <cell r="R184"/>
          <cell r="S184">
            <v>0</v>
          </cell>
          <cell r="T184">
            <v>0</v>
          </cell>
          <cell r="U184">
            <v>0</v>
          </cell>
          <cell r="V184"/>
          <cell r="W184"/>
          <cell r="X184"/>
          <cell r="Y184" t="str">
            <v/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N184" t="str">
            <v/>
          </cell>
          <cell r="AO184" t="str">
            <v/>
          </cell>
          <cell r="AP184" t="str">
            <v/>
          </cell>
          <cell r="AQ184" t="str">
            <v/>
          </cell>
          <cell r="AR184" t="str">
            <v/>
          </cell>
          <cell r="AS184" t="str">
            <v/>
          </cell>
          <cell r="AT184" t="str">
            <v/>
          </cell>
          <cell r="AU184" t="str">
            <v/>
          </cell>
          <cell r="AV184" t="str">
            <v/>
          </cell>
          <cell r="AW184" t="str">
            <v/>
          </cell>
          <cell r="AX184" t="str">
            <v/>
          </cell>
          <cell r="AY184" t="str">
            <v/>
          </cell>
        </row>
        <row r="185">
          <cell r="A185" t="str">
            <v>EVOGENE</v>
          </cell>
          <cell r="B185">
            <v>7</v>
          </cell>
          <cell r="C185" t="str">
            <v>SOW</v>
          </cell>
          <cell r="D185" t="str">
            <v>Corporate</v>
          </cell>
          <cell r="E185" t="str">
            <v>IP</v>
          </cell>
          <cell r="F185">
            <v>306696147</v>
          </cell>
          <cell r="G185" t="str">
            <v>Raya Korotic</v>
          </cell>
          <cell r="H185">
            <v>1</v>
          </cell>
          <cell r="I185">
            <v>13150</v>
          </cell>
          <cell r="J185">
            <v>0</v>
          </cell>
          <cell r="K185">
            <v>13150</v>
          </cell>
          <cell r="L185">
            <v>813</v>
          </cell>
          <cell r="M185">
            <v>226.46</v>
          </cell>
          <cell r="N185">
            <v>189</v>
          </cell>
          <cell r="O185">
            <v>249.05303030303034</v>
          </cell>
          <cell r="P185">
            <v>0</v>
          </cell>
          <cell r="Q185">
            <v>854.75</v>
          </cell>
          <cell r="R185">
            <v>867.10447727272708</v>
          </cell>
          <cell r="S185">
            <v>1095.8333333333333</v>
          </cell>
          <cell r="T185">
            <v>986.25</v>
          </cell>
          <cell r="U185">
            <v>74.954999999999998</v>
          </cell>
          <cell r="V185">
            <v>630.10416666666663</v>
          </cell>
          <cell r="W185">
            <v>0</v>
          </cell>
          <cell r="X185">
            <v>0</v>
          </cell>
          <cell r="Y185">
            <v>19136.510007575758</v>
          </cell>
          <cell r="AA185">
            <v>0.46</v>
          </cell>
          <cell r="AB185">
            <v>0.46</v>
          </cell>
          <cell r="AC185">
            <v>0.46</v>
          </cell>
          <cell r="AD185">
            <v>0.46</v>
          </cell>
          <cell r="AE185">
            <v>0.46</v>
          </cell>
          <cell r="AF185">
            <v>0.46</v>
          </cell>
          <cell r="AG185">
            <v>0.46</v>
          </cell>
          <cell r="AH185">
            <v>0.46</v>
          </cell>
          <cell r="AI185">
            <v>0.46</v>
          </cell>
          <cell r="AJ185">
            <v>0.46</v>
          </cell>
          <cell r="AK185">
            <v>0.46</v>
          </cell>
          <cell r="AL185">
            <v>0.46</v>
          </cell>
          <cell r="AN185">
            <v>2479.6604516858729</v>
          </cell>
          <cell r="AO185">
            <v>2479.6604516858729</v>
          </cell>
          <cell r="AP185">
            <v>2479.6604516858729</v>
          </cell>
          <cell r="AQ185">
            <v>2479.6604516858729</v>
          </cell>
          <cell r="AR185">
            <v>2479.6604516858729</v>
          </cell>
          <cell r="AS185">
            <v>2479.6604516858729</v>
          </cell>
          <cell r="AT185">
            <v>2479.6604516858729</v>
          </cell>
          <cell r="AU185">
            <v>2479.6604516858729</v>
          </cell>
          <cell r="AV185">
            <v>2479.6604516858729</v>
          </cell>
          <cell r="AW185">
            <v>2479.6604516858729</v>
          </cell>
          <cell r="AX185">
            <v>2479.6604516858729</v>
          </cell>
          <cell r="AY185">
            <v>2479.6604516858729</v>
          </cell>
        </row>
        <row r="186">
          <cell r="A186" t="str">
            <v>EVOGENE</v>
          </cell>
          <cell r="B186">
            <v>7</v>
          </cell>
          <cell r="C186" t="str">
            <v>Non SOW</v>
          </cell>
          <cell r="D186" t="str">
            <v>Corporate</v>
          </cell>
          <cell r="E186" t="str">
            <v>IP - NonSOW</v>
          </cell>
          <cell r="F186">
            <v>306696147</v>
          </cell>
          <cell r="G186" t="str">
            <v>Raya Korotic</v>
          </cell>
          <cell r="H186">
            <v>1</v>
          </cell>
          <cell r="I186">
            <v>13150</v>
          </cell>
          <cell r="J186">
            <v>0</v>
          </cell>
          <cell r="K186">
            <v>13150</v>
          </cell>
          <cell r="L186">
            <v>813</v>
          </cell>
          <cell r="M186">
            <v>226.46</v>
          </cell>
          <cell r="N186">
            <v>189</v>
          </cell>
          <cell r="O186">
            <v>249.05303030303034</v>
          </cell>
          <cell r="P186">
            <v>0</v>
          </cell>
          <cell r="Q186">
            <v>854.75</v>
          </cell>
          <cell r="R186">
            <v>867.10447727272708</v>
          </cell>
          <cell r="S186">
            <v>1095.8333333333333</v>
          </cell>
          <cell r="T186">
            <v>986.25</v>
          </cell>
          <cell r="U186">
            <v>74.954999999999998</v>
          </cell>
          <cell r="V186">
            <v>630.10416666666663</v>
          </cell>
          <cell r="W186">
            <v>0</v>
          </cell>
          <cell r="X186">
            <v>0</v>
          </cell>
          <cell r="Y186">
            <v>19136.510007575758</v>
          </cell>
          <cell r="AA186">
            <v>0.54</v>
          </cell>
          <cell r="AB186">
            <v>0.54</v>
          </cell>
          <cell r="AC186">
            <v>0.54</v>
          </cell>
          <cell r="AD186">
            <v>0.54</v>
          </cell>
          <cell r="AE186">
            <v>0.54</v>
          </cell>
          <cell r="AF186">
            <v>0.54</v>
          </cell>
          <cell r="AG186">
            <v>0.54</v>
          </cell>
          <cell r="AH186">
            <v>0.54</v>
          </cell>
          <cell r="AI186">
            <v>0.54</v>
          </cell>
          <cell r="AJ186">
            <v>0.54</v>
          </cell>
          <cell r="AK186">
            <v>0.54</v>
          </cell>
          <cell r="AL186">
            <v>0.54</v>
          </cell>
          <cell r="AN186">
            <v>2910.9057476312423</v>
          </cell>
          <cell r="AO186">
            <v>2910.9057476312423</v>
          </cell>
          <cell r="AP186">
            <v>2910.9057476312423</v>
          </cell>
          <cell r="AQ186">
            <v>2910.9057476312423</v>
          </cell>
          <cell r="AR186">
            <v>2910.9057476312423</v>
          </cell>
          <cell r="AS186">
            <v>2910.9057476312423</v>
          </cell>
          <cell r="AT186">
            <v>2910.9057476312423</v>
          </cell>
          <cell r="AU186">
            <v>2910.9057476312423</v>
          </cell>
          <cell r="AV186">
            <v>2910.9057476312423</v>
          </cell>
          <cell r="AW186">
            <v>2910.9057476312423</v>
          </cell>
          <cell r="AX186">
            <v>2910.9057476312423</v>
          </cell>
          <cell r="AY186">
            <v>2910.9057476312423</v>
          </cell>
        </row>
        <row r="187">
          <cell r="A187"/>
          <cell r="B187"/>
          <cell r="D187"/>
          <cell r="I187"/>
          <cell r="J187"/>
          <cell r="K187"/>
          <cell r="L187"/>
          <cell r="M187"/>
          <cell r="N187"/>
          <cell r="O187"/>
          <cell r="P187"/>
          <cell r="Q187">
            <v>0</v>
          </cell>
          <cell r="R187"/>
          <cell r="S187">
            <v>0</v>
          </cell>
          <cell r="T187">
            <v>0</v>
          </cell>
          <cell r="U187">
            <v>0</v>
          </cell>
          <cell r="V187"/>
          <cell r="W187"/>
          <cell r="X187"/>
          <cell r="Y187" t="str">
            <v/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N187" t="str">
            <v/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 t="str">
            <v/>
          </cell>
          <cell r="AT187" t="str">
            <v/>
          </cell>
          <cell r="AU187" t="str">
            <v/>
          </cell>
          <cell r="AV187" t="str">
            <v/>
          </cell>
          <cell r="AW187" t="str">
            <v/>
          </cell>
          <cell r="AX187" t="str">
            <v/>
          </cell>
          <cell r="AY187" t="str">
            <v/>
          </cell>
        </row>
        <row r="188">
          <cell r="A188" t="str">
            <v>EVOGENE</v>
          </cell>
          <cell r="B188">
            <v>7</v>
          </cell>
          <cell r="C188" t="str">
            <v>Non SOW</v>
          </cell>
          <cell r="D188" t="str">
            <v>Corporate</v>
          </cell>
          <cell r="E188" t="str">
            <v>IR\PR</v>
          </cell>
          <cell r="F188">
            <v>200084242</v>
          </cell>
          <cell r="G188" t="str">
            <v>Rivka Neufeld</v>
          </cell>
          <cell r="H188">
            <v>0.5</v>
          </cell>
          <cell r="I188">
            <v>7000</v>
          </cell>
          <cell r="J188">
            <v>0</v>
          </cell>
          <cell r="K188">
            <v>14000</v>
          </cell>
          <cell r="L188">
            <v>813</v>
          </cell>
          <cell r="M188">
            <v>293.18</v>
          </cell>
          <cell r="N188">
            <v>220.5</v>
          </cell>
          <cell r="O188">
            <v>132.57575757575759</v>
          </cell>
          <cell r="P188">
            <v>0</v>
          </cell>
          <cell r="Q188">
            <v>910</v>
          </cell>
          <cell r="R188">
            <v>929.4851818181819</v>
          </cell>
          <cell r="S188">
            <v>1166.6666666666665</v>
          </cell>
          <cell r="T188">
            <v>1050</v>
          </cell>
          <cell r="U188">
            <v>79.8</v>
          </cell>
          <cell r="V188">
            <v>670.83333333333326</v>
          </cell>
          <cell r="W188">
            <v>0</v>
          </cell>
          <cell r="X188">
            <v>0</v>
          </cell>
          <cell r="Y188">
            <v>20266.040939393941</v>
          </cell>
          <cell r="AA188">
            <v>0.5</v>
          </cell>
          <cell r="AB188">
            <v>0.5</v>
          </cell>
          <cell r="AC188">
            <v>0.5</v>
          </cell>
          <cell r="AD188">
            <v>0.5</v>
          </cell>
          <cell r="AE188">
            <v>0.5</v>
          </cell>
          <cell r="AF188">
            <v>0.5</v>
          </cell>
          <cell r="AG188">
            <v>0.5</v>
          </cell>
          <cell r="AH188">
            <v>0.5</v>
          </cell>
          <cell r="AI188">
            <v>0.5</v>
          </cell>
          <cell r="AJ188">
            <v>0.5</v>
          </cell>
          <cell r="AK188">
            <v>0.5</v>
          </cell>
          <cell r="AL188">
            <v>0.5</v>
          </cell>
          <cell r="AN188">
            <v>2854.3719632949214</v>
          </cell>
          <cell r="AO188">
            <v>2854.3719632949214</v>
          </cell>
          <cell r="AP188">
            <v>2854.3719632949214</v>
          </cell>
          <cell r="AQ188">
            <v>2854.3719632949214</v>
          </cell>
          <cell r="AR188">
            <v>2854.3719632949214</v>
          </cell>
          <cell r="AS188">
            <v>2854.3719632949214</v>
          </cell>
          <cell r="AT188">
            <v>2854.3719632949214</v>
          </cell>
          <cell r="AU188">
            <v>2854.3719632949214</v>
          </cell>
          <cell r="AV188">
            <v>2854.3719632949214</v>
          </cell>
          <cell r="AW188">
            <v>2854.3719632949214</v>
          </cell>
          <cell r="AX188">
            <v>2854.3719632949214</v>
          </cell>
          <cell r="AY188">
            <v>2854.3719632949214</v>
          </cell>
        </row>
        <row r="189">
          <cell r="A189" t="str">
            <v>EVOGENE</v>
          </cell>
          <cell r="B189">
            <v>7</v>
          </cell>
          <cell r="C189" t="str">
            <v>Non SOW</v>
          </cell>
          <cell r="D189" t="str">
            <v>Corporate</v>
          </cell>
          <cell r="E189" t="str">
            <v>HR</v>
          </cell>
          <cell r="F189">
            <v>200084242</v>
          </cell>
          <cell r="G189" t="str">
            <v>Rivka Neufeld</v>
          </cell>
          <cell r="H189">
            <v>0.25</v>
          </cell>
          <cell r="I189">
            <v>3500</v>
          </cell>
          <cell r="J189">
            <v>0</v>
          </cell>
          <cell r="K189">
            <v>14000</v>
          </cell>
          <cell r="L189">
            <v>813</v>
          </cell>
          <cell r="M189">
            <v>293.18</v>
          </cell>
          <cell r="N189">
            <v>220.5</v>
          </cell>
          <cell r="O189">
            <v>66.287878787878796</v>
          </cell>
          <cell r="P189">
            <v>0</v>
          </cell>
          <cell r="Q189">
            <v>910</v>
          </cell>
          <cell r="R189">
            <v>924.51359090909091</v>
          </cell>
          <cell r="S189">
            <v>1166.6666666666665</v>
          </cell>
          <cell r="T189">
            <v>1050</v>
          </cell>
          <cell r="U189">
            <v>79.8</v>
          </cell>
          <cell r="V189">
            <v>670.83333333333326</v>
          </cell>
          <cell r="W189">
            <v>0</v>
          </cell>
          <cell r="X189">
            <v>0</v>
          </cell>
          <cell r="Y189">
            <v>20194.781469696969</v>
          </cell>
          <cell r="AA189">
            <v>0.25</v>
          </cell>
          <cell r="AB189">
            <v>0.25</v>
          </cell>
          <cell r="AC189">
            <v>0.25</v>
          </cell>
          <cell r="AD189">
            <v>0.25</v>
          </cell>
          <cell r="AE189">
            <v>0.25</v>
          </cell>
          <cell r="AF189">
            <v>0.25</v>
          </cell>
          <cell r="AG189">
            <v>0.25</v>
          </cell>
          <cell r="AH189">
            <v>0.25</v>
          </cell>
          <cell r="AI189">
            <v>0.25</v>
          </cell>
          <cell r="AJ189">
            <v>0.25</v>
          </cell>
          <cell r="AK189">
            <v>0.25</v>
          </cell>
          <cell r="AL189">
            <v>0.25</v>
          </cell>
          <cell r="AN189">
            <v>1422.1677091335894</v>
          </cell>
          <cell r="AO189">
            <v>1422.1677091335894</v>
          </cell>
          <cell r="AP189">
            <v>1422.1677091335894</v>
          </cell>
          <cell r="AQ189">
            <v>1422.1677091335894</v>
          </cell>
          <cell r="AR189">
            <v>1422.1677091335894</v>
          </cell>
          <cell r="AS189">
            <v>1422.1677091335894</v>
          </cell>
          <cell r="AT189">
            <v>1422.1677091335894</v>
          </cell>
          <cell r="AU189">
            <v>1422.1677091335894</v>
          </cell>
          <cell r="AV189">
            <v>1422.1677091335894</v>
          </cell>
          <cell r="AW189">
            <v>1422.1677091335894</v>
          </cell>
          <cell r="AX189">
            <v>1422.1677091335894</v>
          </cell>
          <cell r="AY189">
            <v>1422.1677091335894</v>
          </cell>
        </row>
        <row r="190">
          <cell r="A190" t="str">
            <v>EVOGENE</v>
          </cell>
          <cell r="B190">
            <v>7</v>
          </cell>
          <cell r="C190" t="str">
            <v>Non SOW</v>
          </cell>
          <cell r="D190" t="str">
            <v>Corporate</v>
          </cell>
          <cell r="E190" t="str">
            <v>IR\PR</v>
          </cell>
          <cell r="F190">
            <v>33623299</v>
          </cell>
          <cell r="G190" t="str">
            <v>Nir Zalik</v>
          </cell>
          <cell r="H190">
            <v>1</v>
          </cell>
          <cell r="I190">
            <v>18000</v>
          </cell>
          <cell r="J190">
            <v>0</v>
          </cell>
          <cell r="K190">
            <v>18000</v>
          </cell>
          <cell r="L190">
            <v>813</v>
          </cell>
          <cell r="M190">
            <v>735.3</v>
          </cell>
          <cell r="N190">
            <v>189</v>
          </cell>
          <cell r="O190">
            <v>340.90909090909088</v>
          </cell>
          <cell r="P190">
            <v>120</v>
          </cell>
          <cell r="Q190">
            <v>1170</v>
          </cell>
          <cell r="R190">
            <v>1284.9066818181818</v>
          </cell>
          <cell r="S190">
            <v>1500</v>
          </cell>
          <cell r="T190">
            <v>1350</v>
          </cell>
          <cell r="U190">
            <v>102.60000000000001</v>
          </cell>
          <cell r="V190">
            <v>862.5</v>
          </cell>
          <cell r="W190">
            <v>0</v>
          </cell>
          <cell r="X190">
            <v>0</v>
          </cell>
          <cell r="Y190">
            <v>26468.215772727272</v>
          </cell>
          <cell r="AA190">
            <v>1</v>
          </cell>
          <cell r="AB190">
            <v>1</v>
          </cell>
          <cell r="AC190">
            <v>1</v>
          </cell>
          <cell r="AD190">
            <v>1</v>
          </cell>
          <cell r="AE190">
            <v>1</v>
          </cell>
          <cell r="AF190">
            <v>1</v>
          </cell>
          <cell r="AG190">
            <v>1</v>
          </cell>
          <cell r="AH190">
            <v>1</v>
          </cell>
          <cell r="AI190">
            <v>1</v>
          </cell>
          <cell r="AJ190">
            <v>1</v>
          </cell>
          <cell r="AK190">
            <v>1</v>
          </cell>
          <cell r="AL190">
            <v>1</v>
          </cell>
          <cell r="AN190">
            <v>7455.8354289372601</v>
          </cell>
          <cell r="AO190">
            <v>7455.8354289372601</v>
          </cell>
          <cell r="AP190">
            <v>7455.8354289372601</v>
          </cell>
          <cell r="AQ190">
            <v>7455.8354289372601</v>
          </cell>
          <cell r="AR190">
            <v>7455.8354289372601</v>
          </cell>
          <cell r="AS190">
            <v>7455.8354289372601</v>
          </cell>
          <cell r="AT190">
            <v>7455.8354289372601</v>
          </cell>
          <cell r="AU190">
            <v>7455.8354289372601</v>
          </cell>
          <cell r="AV190">
            <v>7455.8354289372601</v>
          </cell>
          <cell r="AW190">
            <v>7455.8354289372601</v>
          </cell>
          <cell r="AX190">
            <v>7455.8354289372601</v>
          </cell>
          <cell r="AY190">
            <v>7455.8354289372601</v>
          </cell>
        </row>
        <row r="191">
          <cell r="A191"/>
          <cell r="B191"/>
          <cell r="D191"/>
          <cell r="I191"/>
          <cell r="J191"/>
          <cell r="K191"/>
          <cell r="L191"/>
          <cell r="M191"/>
          <cell r="N191"/>
          <cell r="O191"/>
          <cell r="P191"/>
          <cell r="Q191">
            <v>0</v>
          </cell>
          <cell r="R191"/>
          <cell r="S191">
            <v>0</v>
          </cell>
          <cell r="T191">
            <v>0</v>
          </cell>
          <cell r="U191">
            <v>0</v>
          </cell>
          <cell r="V191"/>
          <cell r="W191"/>
          <cell r="X191"/>
          <cell r="Y191" t="str">
            <v/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 t="str">
            <v/>
          </cell>
          <cell r="AT191" t="str">
            <v/>
          </cell>
          <cell r="AU191" t="str">
            <v/>
          </cell>
          <cell r="AV191" t="str">
            <v/>
          </cell>
          <cell r="AW191" t="str">
            <v/>
          </cell>
          <cell r="AX191" t="str">
            <v/>
          </cell>
          <cell r="AY191" t="str">
            <v/>
          </cell>
        </row>
        <row r="192">
          <cell r="A192" t="str">
            <v>EVOGENE</v>
          </cell>
          <cell r="B192">
            <v>7</v>
          </cell>
          <cell r="C192" t="str">
            <v>Non SOW</v>
          </cell>
          <cell r="D192" t="str">
            <v>Corporate</v>
          </cell>
          <cell r="E192" t="str">
            <v>Legal</v>
          </cell>
          <cell r="F192">
            <v>35888320</v>
          </cell>
          <cell r="G192" t="str">
            <v>Sassi Masliah</v>
          </cell>
          <cell r="H192">
            <v>1</v>
          </cell>
          <cell r="I192">
            <v>30500</v>
          </cell>
          <cell r="J192">
            <v>0</v>
          </cell>
          <cell r="K192">
            <v>30500</v>
          </cell>
          <cell r="L192">
            <v>813</v>
          </cell>
          <cell r="M192">
            <v>290.55</v>
          </cell>
          <cell r="N192">
            <v>220.5</v>
          </cell>
          <cell r="O192">
            <v>577.65151515151513</v>
          </cell>
          <cell r="P192">
            <v>120</v>
          </cell>
          <cell r="Q192">
            <v>1982.5</v>
          </cell>
          <cell r="R192">
            <v>2209.1686136363637</v>
          </cell>
          <cell r="S192">
            <v>2541.6666666666665</v>
          </cell>
          <cell r="T192">
            <v>2287.5</v>
          </cell>
          <cell r="U192">
            <v>173.85</v>
          </cell>
          <cell r="V192">
            <v>1461.4583333333333</v>
          </cell>
          <cell r="W192">
            <v>0</v>
          </cell>
          <cell r="X192">
            <v>0</v>
          </cell>
          <cell r="Y192">
            <v>43177.845128787878</v>
          </cell>
          <cell r="AA192">
            <v>1</v>
          </cell>
          <cell r="AB192">
            <v>1</v>
          </cell>
          <cell r="AC192">
            <v>1</v>
          </cell>
          <cell r="AD192">
            <v>1</v>
          </cell>
          <cell r="AE192">
            <v>1</v>
          </cell>
          <cell r="AF192">
            <v>1</v>
          </cell>
          <cell r="AG192">
            <v>1</v>
          </cell>
          <cell r="AH192">
            <v>1</v>
          </cell>
          <cell r="AI192">
            <v>1</v>
          </cell>
          <cell r="AJ192">
            <v>1</v>
          </cell>
          <cell r="AK192">
            <v>1</v>
          </cell>
          <cell r="AL192">
            <v>1</v>
          </cell>
          <cell r="AN192">
            <v>12162.773275714895</v>
          </cell>
          <cell r="AO192">
            <v>12162.773275714895</v>
          </cell>
          <cell r="AP192">
            <v>12162.773275714895</v>
          </cell>
          <cell r="AQ192">
            <v>12162.773275714895</v>
          </cell>
          <cell r="AR192">
            <v>12162.773275714895</v>
          </cell>
          <cell r="AS192">
            <v>12162.773275714895</v>
          </cell>
          <cell r="AT192">
            <v>12162.773275714895</v>
          </cell>
          <cell r="AU192">
            <v>12162.773275714895</v>
          </cell>
          <cell r="AV192">
            <v>12162.773275714895</v>
          </cell>
          <cell r="AW192">
            <v>12162.773275714895</v>
          </cell>
          <cell r="AX192">
            <v>12162.773275714895</v>
          </cell>
          <cell r="AY192">
            <v>12162.773275714895</v>
          </cell>
        </row>
        <row r="193">
          <cell r="A193" t="str">
            <v>EVOGENE</v>
          </cell>
          <cell r="B193">
            <v>7</v>
          </cell>
          <cell r="C193" t="str">
            <v>Non SOW</v>
          </cell>
          <cell r="D193" t="str">
            <v>Corporate</v>
          </cell>
          <cell r="E193" t="str">
            <v>Legal</v>
          </cell>
          <cell r="F193">
            <v>40115040</v>
          </cell>
          <cell r="G193" t="str">
            <v>Amitai Bartov</v>
          </cell>
          <cell r="H193">
            <v>1</v>
          </cell>
          <cell r="I193">
            <v>23000</v>
          </cell>
          <cell r="J193">
            <v>-2791</v>
          </cell>
          <cell r="K193">
            <v>20209</v>
          </cell>
          <cell r="L193">
            <v>813</v>
          </cell>
          <cell r="M193">
            <v>0</v>
          </cell>
          <cell r="N193">
            <v>189</v>
          </cell>
          <cell r="O193">
            <v>435.60606060606068</v>
          </cell>
          <cell r="P193">
            <v>120</v>
          </cell>
          <cell r="Q193">
            <v>1313.585</v>
          </cell>
          <cell r="R193">
            <v>1402.5364545454545</v>
          </cell>
          <cell r="S193">
            <v>1684.0833333333333</v>
          </cell>
          <cell r="T193">
            <v>1515.675</v>
          </cell>
          <cell r="U193">
            <v>115.1913</v>
          </cell>
          <cell r="V193">
            <v>1102.0833333333333</v>
          </cell>
          <cell r="W193">
            <v>3430</v>
          </cell>
          <cell r="X193">
            <v>1500</v>
          </cell>
          <cell r="Y193">
            <v>33829.760481818172</v>
          </cell>
          <cell r="AA193">
            <v>1</v>
          </cell>
          <cell r="AB193">
            <v>1</v>
          </cell>
          <cell r="AC193">
            <v>1</v>
          </cell>
          <cell r="AD193">
            <v>1</v>
          </cell>
          <cell r="AE193">
            <v>1</v>
          </cell>
          <cell r="AF193">
            <v>1</v>
          </cell>
          <cell r="AG193">
            <v>1</v>
          </cell>
          <cell r="AH193">
            <v>1</v>
          </cell>
          <cell r="AI193">
            <v>1</v>
          </cell>
          <cell r="AJ193">
            <v>1</v>
          </cell>
          <cell r="AK193">
            <v>1</v>
          </cell>
          <cell r="AL193">
            <v>1</v>
          </cell>
          <cell r="AN193">
            <v>9529.5099948783591</v>
          </cell>
          <cell r="AO193">
            <v>9529.5099948783591</v>
          </cell>
          <cell r="AP193">
            <v>9529.5099948783591</v>
          </cell>
          <cell r="AQ193">
            <v>9529.5099948783591</v>
          </cell>
          <cell r="AR193">
            <v>9529.5099948783591</v>
          </cell>
          <cell r="AS193">
            <v>9529.5099948783591</v>
          </cell>
          <cell r="AT193">
            <v>9529.5099948783591</v>
          </cell>
          <cell r="AU193">
            <v>9529.5099948783591</v>
          </cell>
          <cell r="AV193">
            <v>9529.5099948783591</v>
          </cell>
          <cell r="AW193">
            <v>9529.5099948783591</v>
          </cell>
          <cell r="AX193">
            <v>9529.5099948783591</v>
          </cell>
          <cell r="AY193">
            <v>9529.5099948783591</v>
          </cell>
        </row>
        <row r="194">
          <cell r="A194"/>
          <cell r="B194"/>
          <cell r="D194"/>
          <cell r="I194"/>
          <cell r="J194"/>
          <cell r="K194"/>
          <cell r="L194"/>
          <cell r="M194"/>
          <cell r="N194"/>
          <cell r="O194"/>
          <cell r="P194"/>
          <cell r="Q194">
            <v>0</v>
          </cell>
          <cell r="R194"/>
          <cell r="S194">
            <v>0</v>
          </cell>
          <cell r="T194">
            <v>0</v>
          </cell>
          <cell r="U194">
            <v>0</v>
          </cell>
          <cell r="V194"/>
          <cell r="W194"/>
          <cell r="X194"/>
          <cell r="Y194" t="str">
            <v/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N194" t="str">
            <v/>
          </cell>
          <cell r="AO194" t="str">
            <v/>
          </cell>
          <cell r="AP194" t="str">
            <v/>
          </cell>
          <cell r="AQ194" t="str">
            <v/>
          </cell>
          <cell r="AR194" t="str">
            <v/>
          </cell>
          <cell r="AS194" t="str">
            <v/>
          </cell>
          <cell r="AT194" t="str">
            <v/>
          </cell>
          <cell r="AU194" t="str">
            <v/>
          </cell>
          <cell r="AV194" t="str">
            <v/>
          </cell>
          <cell r="AW194" t="str">
            <v/>
          </cell>
          <cell r="AX194" t="str">
            <v/>
          </cell>
          <cell r="AY194" t="str">
            <v/>
          </cell>
        </row>
        <row r="196">
          <cell r="A196" t="str">
            <v>EVOGENE</v>
          </cell>
          <cell r="B196">
            <v>7</v>
          </cell>
          <cell r="C196" t="str">
            <v>Non SOW</v>
          </cell>
          <cell r="D196" t="str">
            <v>Platform-Operation</v>
          </cell>
          <cell r="E196" t="str">
            <v>Operations</v>
          </cell>
          <cell r="F196">
            <v>25756032</v>
          </cell>
          <cell r="G196" t="str">
            <v>Alon Angel</v>
          </cell>
          <cell r="H196">
            <v>1</v>
          </cell>
          <cell r="I196">
            <v>12300</v>
          </cell>
          <cell r="J196">
            <v>0</v>
          </cell>
          <cell r="K196">
            <v>12300</v>
          </cell>
          <cell r="L196">
            <v>813</v>
          </cell>
          <cell r="M196">
            <v>0</v>
          </cell>
          <cell r="N196">
            <v>220.5</v>
          </cell>
          <cell r="O196">
            <v>232.95454545454547</v>
          </cell>
          <cell r="P196">
            <v>0</v>
          </cell>
          <cell r="Q196">
            <v>799.5</v>
          </cell>
          <cell r="R196">
            <v>787.52509090909098</v>
          </cell>
          <cell r="S196">
            <v>1025</v>
          </cell>
          <cell r="T196">
            <v>922.5</v>
          </cell>
          <cell r="U196">
            <v>70.11</v>
          </cell>
          <cell r="V196">
            <v>589.37499999999989</v>
          </cell>
          <cell r="W196">
            <v>2636.4223750000001</v>
          </cell>
          <cell r="X196">
            <v>1200</v>
          </cell>
          <cell r="Y196">
            <v>21596.887011363637</v>
          </cell>
          <cell r="AA196">
            <v>1</v>
          </cell>
          <cell r="AB196">
            <v>1</v>
          </cell>
          <cell r="AC196">
            <v>1</v>
          </cell>
          <cell r="AD196">
            <v>1</v>
          </cell>
          <cell r="AE196">
            <v>1</v>
          </cell>
          <cell r="AF196">
            <v>1</v>
          </cell>
          <cell r="AG196">
            <v>1</v>
          </cell>
          <cell r="AH196">
            <v>1</v>
          </cell>
          <cell r="AI196">
            <v>1</v>
          </cell>
          <cell r="AJ196">
            <v>1</v>
          </cell>
          <cell r="AK196">
            <v>1</v>
          </cell>
          <cell r="AL196">
            <v>1</v>
          </cell>
          <cell r="AN196">
            <v>6083.6301440460948</v>
          </cell>
          <cell r="AO196">
            <v>6083.6301440460948</v>
          </cell>
          <cell r="AP196">
            <v>6083.6301440460948</v>
          </cell>
          <cell r="AQ196">
            <v>6083.6301440460948</v>
          </cell>
          <cell r="AR196">
            <v>6083.6301440460948</v>
          </cell>
          <cell r="AS196">
            <v>6083.6301440460948</v>
          </cell>
          <cell r="AT196">
            <v>6083.6301440460948</v>
          </cell>
          <cell r="AU196">
            <v>6083.6301440460948</v>
          </cell>
          <cell r="AV196">
            <v>6083.6301440460948</v>
          </cell>
          <cell r="AW196">
            <v>6083.6301440460948</v>
          </cell>
          <cell r="AX196">
            <v>6083.6301440460948</v>
          </cell>
          <cell r="AY196">
            <v>6083.6301440460948</v>
          </cell>
        </row>
        <row r="197">
          <cell r="A197" t="str">
            <v>EVOGENE</v>
          </cell>
          <cell r="B197">
            <v>7</v>
          </cell>
          <cell r="C197" t="str">
            <v>Non SOW</v>
          </cell>
          <cell r="D197" t="str">
            <v>Platform-Operation</v>
          </cell>
          <cell r="E197" t="str">
            <v>Operations</v>
          </cell>
          <cell r="F197">
            <v>32004319</v>
          </cell>
          <cell r="G197" t="str">
            <v>Tamir Chalaf</v>
          </cell>
          <cell r="H197">
            <v>1</v>
          </cell>
          <cell r="I197">
            <v>18000</v>
          </cell>
          <cell r="J197">
            <v>0</v>
          </cell>
          <cell r="K197">
            <v>18000</v>
          </cell>
          <cell r="L197">
            <v>813</v>
          </cell>
          <cell r="M197">
            <v>0</v>
          </cell>
          <cell r="N197">
            <v>220.5</v>
          </cell>
          <cell r="O197">
            <v>340.90909090909088</v>
          </cell>
          <cell r="P197">
            <v>120</v>
          </cell>
          <cell r="Q197">
            <v>1170</v>
          </cell>
          <cell r="R197">
            <v>1232.121681818182</v>
          </cell>
          <cell r="S197">
            <v>1500</v>
          </cell>
          <cell r="T197">
            <v>1350</v>
          </cell>
          <cell r="U197">
            <v>102.60000000000001</v>
          </cell>
          <cell r="V197">
            <v>862.5</v>
          </cell>
          <cell r="W197">
            <v>2957.4828750000001</v>
          </cell>
          <cell r="X197">
            <v>1400</v>
          </cell>
          <cell r="Y197">
            <v>30069.113647727274</v>
          </cell>
          <cell r="AA197">
            <v>1</v>
          </cell>
          <cell r="AB197">
            <v>1</v>
          </cell>
          <cell r="AC197">
            <v>1</v>
          </cell>
          <cell r="AD197">
            <v>1</v>
          </cell>
          <cell r="AE197">
            <v>1</v>
          </cell>
          <cell r="AF197">
            <v>1</v>
          </cell>
          <cell r="AG197">
            <v>1</v>
          </cell>
          <cell r="AH197">
            <v>1</v>
          </cell>
          <cell r="AI197">
            <v>1</v>
          </cell>
          <cell r="AJ197">
            <v>1</v>
          </cell>
          <cell r="AK197">
            <v>1</v>
          </cell>
          <cell r="AL197">
            <v>1</v>
          </cell>
          <cell r="AN197">
            <v>8470.1728585147248</v>
          </cell>
          <cell r="AO197">
            <v>8470.1728585147248</v>
          </cell>
          <cell r="AP197">
            <v>8470.1728585147248</v>
          </cell>
          <cell r="AQ197">
            <v>8470.1728585147248</v>
          </cell>
          <cell r="AR197">
            <v>8470.1728585147248</v>
          </cell>
          <cell r="AS197">
            <v>8470.1728585147248</v>
          </cell>
          <cell r="AT197">
            <v>8470.1728585147248</v>
          </cell>
          <cell r="AU197">
            <v>8470.1728585147248</v>
          </cell>
          <cell r="AV197">
            <v>8470.1728585147248</v>
          </cell>
          <cell r="AW197">
            <v>8470.1728585147248</v>
          </cell>
          <cell r="AX197">
            <v>8470.1728585147248</v>
          </cell>
          <cell r="AY197">
            <v>8470.1728585147248</v>
          </cell>
        </row>
        <row r="198">
          <cell r="A198" t="str">
            <v>EVOGENE</v>
          </cell>
          <cell r="B198">
            <v>7</v>
          </cell>
          <cell r="C198" t="str">
            <v>Non SOW</v>
          </cell>
          <cell r="D198" t="str">
            <v>Corporate</v>
          </cell>
          <cell r="E198" t="str">
            <v>Purchasing</v>
          </cell>
          <cell r="F198">
            <v>32034456</v>
          </cell>
          <cell r="G198" t="str">
            <v>Keren Eyal</v>
          </cell>
          <cell r="H198">
            <v>0.8</v>
          </cell>
          <cell r="I198">
            <v>5800</v>
          </cell>
          <cell r="J198">
            <v>0</v>
          </cell>
          <cell r="K198">
            <v>7250</v>
          </cell>
          <cell r="L198">
            <v>813</v>
          </cell>
          <cell r="M198">
            <v>274.61</v>
          </cell>
          <cell r="N198">
            <v>176.4</v>
          </cell>
          <cell r="O198">
            <v>109.84848484848483</v>
          </cell>
          <cell r="P198">
            <v>0</v>
          </cell>
          <cell r="Q198">
            <v>471.25</v>
          </cell>
          <cell r="R198">
            <v>416.83038636363631</v>
          </cell>
          <cell r="S198">
            <v>604.16666666666663</v>
          </cell>
          <cell r="T198">
            <v>543.75</v>
          </cell>
          <cell r="U198">
            <v>41.325000000000003</v>
          </cell>
          <cell r="V198">
            <v>347.39583333333331</v>
          </cell>
          <cell r="W198">
            <v>0</v>
          </cell>
          <cell r="X198">
            <v>0</v>
          </cell>
          <cell r="Y198">
            <v>11048.576371212121</v>
          </cell>
          <cell r="AA198">
            <v>0.8</v>
          </cell>
          <cell r="AB198">
            <v>0.8</v>
          </cell>
          <cell r="AC198">
            <v>0.8</v>
          </cell>
          <cell r="AD198">
            <v>0.8</v>
          </cell>
          <cell r="AE198">
            <v>0.8</v>
          </cell>
          <cell r="AF198">
            <v>0.8</v>
          </cell>
          <cell r="AG198">
            <v>0.8</v>
          </cell>
          <cell r="AH198">
            <v>0.8</v>
          </cell>
          <cell r="AI198">
            <v>0.8</v>
          </cell>
          <cell r="AJ198">
            <v>0.8</v>
          </cell>
          <cell r="AK198">
            <v>0.8</v>
          </cell>
          <cell r="AL198">
            <v>0.8</v>
          </cell>
          <cell r="AN198">
            <v>2489.8200273154075</v>
          </cell>
          <cell r="AO198">
            <v>2489.8200273154075</v>
          </cell>
          <cell r="AP198">
            <v>2489.8200273154075</v>
          </cell>
          <cell r="AQ198">
            <v>2489.8200273154075</v>
          </cell>
          <cell r="AR198">
            <v>2489.8200273154075</v>
          </cell>
          <cell r="AS198">
            <v>2489.8200273154075</v>
          </cell>
          <cell r="AT198">
            <v>2489.8200273154075</v>
          </cell>
          <cell r="AU198">
            <v>2489.8200273154075</v>
          </cell>
          <cell r="AV198">
            <v>2489.8200273154075</v>
          </cell>
          <cell r="AW198">
            <v>2489.8200273154075</v>
          </cell>
          <cell r="AX198">
            <v>2489.8200273154075</v>
          </cell>
          <cell r="AY198">
            <v>2489.8200273154075</v>
          </cell>
        </row>
        <row r="199">
          <cell r="A199" t="str">
            <v>EVOGENE</v>
          </cell>
          <cell r="B199">
            <v>7</v>
          </cell>
          <cell r="C199" t="str">
            <v>Non SOW</v>
          </cell>
          <cell r="D199" t="str">
            <v>Platform-Operation</v>
          </cell>
          <cell r="E199" t="str">
            <v>Operations</v>
          </cell>
          <cell r="F199">
            <v>38447355</v>
          </cell>
          <cell r="G199" t="str">
            <v>Vered Elias</v>
          </cell>
          <cell r="H199">
            <v>0.8</v>
          </cell>
          <cell r="I199">
            <v>12300</v>
          </cell>
          <cell r="J199">
            <v>0</v>
          </cell>
          <cell r="K199">
            <v>15375</v>
          </cell>
          <cell r="L199">
            <v>813</v>
          </cell>
          <cell r="M199">
            <v>877.21</v>
          </cell>
          <cell r="N199">
            <v>176.4</v>
          </cell>
          <cell r="O199">
            <v>232.95454545454547</v>
          </cell>
          <cell r="P199">
            <v>120</v>
          </cell>
          <cell r="Q199">
            <v>999.375</v>
          </cell>
          <cell r="R199">
            <v>1089.6333409090907</v>
          </cell>
          <cell r="S199">
            <v>1281.25</v>
          </cell>
          <cell r="T199">
            <v>1153.125</v>
          </cell>
          <cell r="U199">
            <v>87.637500000000003</v>
          </cell>
          <cell r="V199">
            <v>736.71875</v>
          </cell>
          <cell r="W199">
            <v>0</v>
          </cell>
          <cell r="X199">
            <v>0</v>
          </cell>
          <cell r="Y199">
            <v>22942.304136363637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</row>
        <row r="200">
          <cell r="A200" t="str">
            <v>EVOGENE</v>
          </cell>
          <cell r="B200">
            <v>7</v>
          </cell>
          <cell r="C200" t="str">
            <v>Non SOW</v>
          </cell>
          <cell r="D200" t="str">
            <v>Platform-Operation</v>
          </cell>
          <cell r="E200" t="str">
            <v>Operations</v>
          </cell>
          <cell r="G200" t="str">
            <v>Eli Azulai</v>
          </cell>
          <cell r="H200">
            <v>1</v>
          </cell>
          <cell r="I200">
            <v>12000</v>
          </cell>
          <cell r="J200">
            <v>0</v>
          </cell>
          <cell r="K200">
            <v>12000</v>
          </cell>
          <cell r="L200">
            <v>813</v>
          </cell>
          <cell r="M200">
            <v>0</v>
          </cell>
          <cell r="N200">
            <v>189</v>
          </cell>
          <cell r="O200">
            <v>227.27272727272728</v>
          </cell>
          <cell r="P200">
            <v>120</v>
          </cell>
          <cell r="Q200">
            <v>780</v>
          </cell>
          <cell r="R200">
            <v>771.23645454545454</v>
          </cell>
          <cell r="S200">
            <v>1000</v>
          </cell>
          <cell r="T200">
            <v>900</v>
          </cell>
          <cell r="U200">
            <v>68.400000000000006</v>
          </cell>
          <cell r="V200">
            <v>574.99999999999989</v>
          </cell>
          <cell r="W200">
            <v>3132.967725</v>
          </cell>
          <cell r="X200">
            <v>1500</v>
          </cell>
          <cell r="Y200">
            <v>22076.876906818183</v>
          </cell>
          <cell r="AA200">
            <v>1</v>
          </cell>
          <cell r="AB200">
            <v>1</v>
          </cell>
          <cell r="AC200">
            <v>1</v>
          </cell>
          <cell r="AD200">
            <v>1</v>
          </cell>
          <cell r="AE200">
            <v>1</v>
          </cell>
          <cell r="AF200">
            <v>1</v>
          </cell>
          <cell r="AG200">
            <v>1</v>
          </cell>
          <cell r="AH200">
            <v>1</v>
          </cell>
          <cell r="AI200">
            <v>1</v>
          </cell>
          <cell r="AJ200">
            <v>1</v>
          </cell>
          <cell r="AK200">
            <v>1</v>
          </cell>
          <cell r="AL200">
            <v>1</v>
          </cell>
          <cell r="AN200">
            <v>6218.8385653008972</v>
          </cell>
          <cell r="AO200">
            <v>6218.8385653008972</v>
          </cell>
          <cell r="AP200">
            <v>6218.8385653008972</v>
          </cell>
          <cell r="AQ200">
            <v>6218.8385653008972</v>
          </cell>
          <cell r="AR200">
            <v>6218.8385653008972</v>
          </cell>
          <cell r="AS200">
            <v>6218.8385653008972</v>
          </cell>
          <cell r="AT200">
            <v>6218.8385653008972</v>
          </cell>
          <cell r="AU200">
            <v>6218.8385653008972</v>
          </cell>
          <cell r="AV200">
            <v>6218.8385653008972</v>
          </cell>
          <cell r="AW200">
            <v>6218.8385653008972</v>
          </cell>
          <cell r="AX200">
            <v>6218.8385653008972</v>
          </cell>
          <cell r="AY200">
            <v>6218.8385653008972</v>
          </cell>
        </row>
        <row r="201">
          <cell r="A201"/>
          <cell r="B201"/>
          <cell r="D201"/>
          <cell r="I201"/>
          <cell r="J201"/>
          <cell r="K201"/>
          <cell r="L201"/>
          <cell r="M201"/>
          <cell r="N201"/>
          <cell r="O201"/>
          <cell r="P201"/>
          <cell r="Q201">
            <v>0</v>
          </cell>
          <cell r="R201"/>
          <cell r="S201">
            <v>0</v>
          </cell>
          <cell r="T201">
            <v>0</v>
          </cell>
          <cell r="U201">
            <v>0</v>
          </cell>
          <cell r="V201"/>
          <cell r="W201"/>
          <cell r="X201"/>
          <cell r="Y201" t="str">
            <v/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N201" t="str">
            <v/>
          </cell>
          <cell r="AO201" t="str">
            <v/>
          </cell>
          <cell r="AP201" t="str">
            <v/>
          </cell>
          <cell r="AQ201" t="str">
            <v/>
          </cell>
          <cell r="AR201" t="str">
            <v/>
          </cell>
          <cell r="AS201" t="str">
            <v/>
          </cell>
          <cell r="AT201" t="str">
            <v/>
          </cell>
          <cell r="AU201" t="str">
            <v/>
          </cell>
          <cell r="AV201" t="str">
            <v/>
          </cell>
          <cell r="AW201" t="str">
            <v/>
          </cell>
          <cell r="AX201" t="str">
            <v/>
          </cell>
          <cell r="AY201" t="str">
            <v/>
          </cell>
        </row>
        <row r="202">
          <cell r="A202" t="str">
            <v>BIOMICA</v>
          </cell>
          <cell r="B202">
            <v>89</v>
          </cell>
          <cell r="C202" t="str">
            <v>SOW - Div</v>
          </cell>
          <cell r="D202" t="str">
            <v>Biomica</v>
          </cell>
          <cell r="E202" t="str">
            <v>Biomica RD</v>
          </cell>
          <cell r="F202">
            <v>21796313</v>
          </cell>
          <cell r="G202" t="str">
            <v>Sheerli Kruger Ben Shabat</v>
          </cell>
          <cell r="H202">
            <v>1</v>
          </cell>
          <cell r="I202">
            <v>15000</v>
          </cell>
          <cell r="J202">
            <v>0</v>
          </cell>
          <cell r="K202">
            <v>15000</v>
          </cell>
          <cell r="L202">
            <v>813</v>
          </cell>
          <cell r="M202">
            <v>877.19</v>
          </cell>
          <cell r="N202">
            <v>157.5</v>
          </cell>
          <cell r="O202">
            <v>284.09090909090912</v>
          </cell>
          <cell r="P202">
            <v>0</v>
          </cell>
          <cell r="Q202">
            <v>975</v>
          </cell>
          <cell r="R202">
            <v>1054.9245681818179</v>
          </cell>
          <cell r="S202">
            <v>1250</v>
          </cell>
          <cell r="T202">
            <v>1125</v>
          </cell>
          <cell r="U202">
            <v>85.5</v>
          </cell>
          <cell r="V202">
            <v>718.75</v>
          </cell>
          <cell r="W202">
            <v>0</v>
          </cell>
          <cell r="X202">
            <v>0</v>
          </cell>
          <cell r="Y202">
            <v>22340.955477272724</v>
          </cell>
          <cell r="AA202">
            <v>1</v>
          </cell>
          <cell r="AB202">
            <v>1</v>
          </cell>
          <cell r="AC202">
            <v>1</v>
          </cell>
          <cell r="AD202">
            <v>1</v>
          </cell>
          <cell r="AE202">
            <v>1</v>
          </cell>
          <cell r="AF202">
            <v>1</v>
          </cell>
          <cell r="AG202">
            <v>1</v>
          </cell>
          <cell r="AH202">
            <v>1</v>
          </cell>
          <cell r="AI202">
            <v>1</v>
          </cell>
          <cell r="AJ202">
            <v>1</v>
          </cell>
          <cell r="AK202">
            <v>1</v>
          </cell>
          <cell r="AL202">
            <v>1</v>
          </cell>
          <cell r="AN202">
            <v>6293.2268950064017</v>
          </cell>
          <cell r="AO202">
            <v>6293.2268950064017</v>
          </cell>
          <cell r="AP202">
            <v>6293.2268950064017</v>
          </cell>
          <cell r="AQ202">
            <v>6293.2268950064017</v>
          </cell>
          <cell r="AR202">
            <v>6293.2268950064017</v>
          </cell>
          <cell r="AS202">
            <v>6293.2268950064017</v>
          </cell>
          <cell r="AT202">
            <v>6293.2268950064017</v>
          </cell>
          <cell r="AU202">
            <v>6293.2268950064017</v>
          </cell>
          <cell r="AV202">
            <v>6293.2268950064017</v>
          </cell>
          <cell r="AW202">
            <v>6293.2268950064017</v>
          </cell>
          <cell r="AX202">
            <v>6293.2268950064017</v>
          </cell>
          <cell r="AY202">
            <v>6293.2268950064017</v>
          </cell>
        </row>
        <row r="203">
          <cell r="A203" t="str">
            <v>BIOMICA</v>
          </cell>
          <cell r="B203">
            <v>89</v>
          </cell>
          <cell r="C203" t="str">
            <v>SOW - Div</v>
          </cell>
          <cell r="D203" t="str">
            <v>Biomica</v>
          </cell>
          <cell r="E203" t="str">
            <v>Biomica RD</v>
          </cell>
          <cell r="F203">
            <v>25046541</v>
          </cell>
          <cell r="G203" t="str">
            <v>Shiri  Meshner</v>
          </cell>
          <cell r="H203">
            <v>1</v>
          </cell>
          <cell r="I203">
            <v>25000</v>
          </cell>
          <cell r="J203">
            <v>0</v>
          </cell>
          <cell r="K203">
            <v>25000</v>
          </cell>
          <cell r="L203">
            <v>813</v>
          </cell>
          <cell r="M203">
            <v>2000</v>
          </cell>
          <cell r="N203">
            <v>157.5</v>
          </cell>
          <cell r="O203">
            <v>473.48484848484844</v>
          </cell>
          <cell r="P203">
            <v>120</v>
          </cell>
          <cell r="Q203">
            <v>1625</v>
          </cell>
          <cell r="R203">
            <v>1912.3398636363636</v>
          </cell>
          <cell r="S203">
            <v>2083.333333333333</v>
          </cell>
          <cell r="T203">
            <v>1875</v>
          </cell>
          <cell r="U203">
            <v>142.5</v>
          </cell>
          <cell r="V203">
            <v>1197.9166666666665</v>
          </cell>
          <cell r="W203">
            <v>0</v>
          </cell>
          <cell r="X203">
            <v>0</v>
          </cell>
          <cell r="Y203">
            <v>37400.074712121212</v>
          </cell>
          <cell r="AA203">
            <v>1</v>
          </cell>
          <cell r="AB203">
            <v>1</v>
          </cell>
          <cell r="AC203">
            <v>1</v>
          </cell>
          <cell r="AD203">
            <v>1</v>
          </cell>
          <cell r="AE203">
            <v>1</v>
          </cell>
          <cell r="AF203">
            <v>1</v>
          </cell>
          <cell r="AG203">
            <v>1</v>
          </cell>
          <cell r="AH203">
            <v>1</v>
          </cell>
          <cell r="AI203">
            <v>1</v>
          </cell>
          <cell r="AJ203">
            <v>1</v>
          </cell>
          <cell r="AK203">
            <v>1</v>
          </cell>
          <cell r="AL203">
            <v>1</v>
          </cell>
          <cell r="AN203">
            <v>10535.232313273582</v>
          </cell>
          <cell r="AO203">
            <v>10535.232313273582</v>
          </cell>
          <cell r="AP203">
            <v>10535.232313273582</v>
          </cell>
          <cell r="AQ203">
            <v>10535.232313273582</v>
          </cell>
          <cell r="AR203">
            <v>10535.232313273582</v>
          </cell>
          <cell r="AS203">
            <v>10535.232313273582</v>
          </cell>
          <cell r="AT203">
            <v>10535.232313273582</v>
          </cell>
          <cell r="AU203">
            <v>10535.232313273582</v>
          </cell>
          <cell r="AV203">
            <v>10535.232313273582</v>
          </cell>
          <cell r="AW203">
            <v>10535.232313273582</v>
          </cell>
          <cell r="AX203">
            <v>10535.232313273582</v>
          </cell>
          <cell r="AY203">
            <v>10535.232313273582</v>
          </cell>
        </row>
        <row r="204">
          <cell r="A204" t="str">
            <v>BIOMICA</v>
          </cell>
          <cell r="B204">
            <v>89</v>
          </cell>
          <cell r="C204" t="str">
            <v>SOW - Div</v>
          </cell>
          <cell r="D204" t="str">
            <v>Biomica</v>
          </cell>
          <cell r="E204" t="str">
            <v>Biomica RD</v>
          </cell>
          <cell r="F204">
            <v>56035165</v>
          </cell>
          <cell r="G204" t="str">
            <v>Yehuda Ringel</v>
          </cell>
          <cell r="H204">
            <v>0.6</v>
          </cell>
          <cell r="I204">
            <v>26250</v>
          </cell>
          <cell r="J204"/>
          <cell r="K204">
            <v>43750</v>
          </cell>
          <cell r="L204">
            <v>813</v>
          </cell>
          <cell r="M204">
            <v>3000</v>
          </cell>
          <cell r="N204">
            <v>157.5</v>
          </cell>
          <cell r="O204">
            <v>497.15909090909093</v>
          </cell>
          <cell r="P204"/>
          <cell r="Q204">
            <v>2843.75</v>
          </cell>
          <cell r="R204">
            <v>3013.0410000000002</v>
          </cell>
          <cell r="S204">
            <v>3645.833333333333</v>
          </cell>
          <cell r="T204">
            <v>3281.25</v>
          </cell>
          <cell r="U204">
            <v>249.375</v>
          </cell>
          <cell r="V204">
            <v>2096.3541666666665</v>
          </cell>
          <cell r="W204"/>
          <cell r="X204"/>
          <cell r="Y204">
            <v>63347.262590909086</v>
          </cell>
          <cell r="AA204">
            <v>0.6</v>
          </cell>
          <cell r="AB204">
            <v>0.6</v>
          </cell>
          <cell r="AC204">
            <v>0.6</v>
          </cell>
          <cell r="AD204">
            <v>0.6</v>
          </cell>
          <cell r="AE204">
            <v>0.6</v>
          </cell>
          <cell r="AF204">
            <v>0.6</v>
          </cell>
          <cell r="AG204">
            <v>0.6</v>
          </cell>
          <cell r="AH204">
            <v>0.6</v>
          </cell>
          <cell r="AI204">
            <v>0.6</v>
          </cell>
          <cell r="AJ204">
            <v>0.6</v>
          </cell>
          <cell r="AK204">
            <v>0.6</v>
          </cell>
          <cell r="AL204">
            <v>0.6</v>
          </cell>
          <cell r="AN204">
            <v>10706.579592829705</v>
          </cell>
          <cell r="AO204">
            <v>10706.579592829705</v>
          </cell>
          <cell r="AP204">
            <v>10706.579592829705</v>
          </cell>
          <cell r="AQ204">
            <v>10706.579592829705</v>
          </cell>
          <cell r="AR204">
            <v>10706.579592829705</v>
          </cell>
          <cell r="AS204">
            <v>10706.579592829705</v>
          </cell>
          <cell r="AT204">
            <v>10706.579592829705</v>
          </cell>
          <cell r="AU204">
            <v>10706.579592829705</v>
          </cell>
          <cell r="AV204">
            <v>10706.579592829705</v>
          </cell>
          <cell r="AW204">
            <v>10706.579592829705</v>
          </cell>
          <cell r="AX204">
            <v>10706.579592829705</v>
          </cell>
          <cell r="AY204">
            <v>10706.579592829705</v>
          </cell>
        </row>
        <row r="205">
          <cell r="A205" t="str">
            <v>BIOMICA</v>
          </cell>
          <cell r="B205">
            <v>89</v>
          </cell>
          <cell r="C205" t="str">
            <v>SOW - Div</v>
          </cell>
          <cell r="D205" t="str">
            <v>Biomica</v>
          </cell>
          <cell r="E205" t="str">
            <v>Biomica RD</v>
          </cell>
          <cell r="G205" t="str">
            <v>Shiri  Ashhar</v>
          </cell>
          <cell r="H205">
            <v>1</v>
          </cell>
          <cell r="I205">
            <v>15000</v>
          </cell>
          <cell r="J205"/>
          <cell r="K205">
            <v>15000</v>
          </cell>
          <cell r="L205">
            <v>813</v>
          </cell>
          <cell r="M205">
            <v>943.4</v>
          </cell>
          <cell r="N205">
            <v>157.5</v>
          </cell>
          <cell r="O205">
            <v>284.09090909090912</v>
          </cell>
          <cell r="P205"/>
          <cell r="Q205">
            <v>975</v>
          </cell>
          <cell r="R205">
            <v>1059.8903181818182</v>
          </cell>
          <cell r="S205">
            <v>1250</v>
          </cell>
          <cell r="T205">
            <v>1125</v>
          </cell>
          <cell r="U205">
            <v>85.5</v>
          </cell>
          <cell r="V205">
            <v>718.75</v>
          </cell>
          <cell r="W205"/>
          <cell r="X205"/>
          <cell r="Y205">
            <v>22412.131227272726</v>
          </cell>
          <cell r="AA205">
            <v>1</v>
          </cell>
          <cell r="AB205">
            <v>1</v>
          </cell>
          <cell r="AC205">
            <v>1</v>
          </cell>
          <cell r="AD205">
            <v>1</v>
          </cell>
          <cell r="AE205">
            <v>1</v>
          </cell>
          <cell r="AF205">
            <v>1</v>
          </cell>
          <cell r="AG205">
            <v>1</v>
          </cell>
          <cell r="AH205">
            <v>1</v>
          </cell>
          <cell r="AI205">
            <v>1</v>
          </cell>
          <cell r="AJ205">
            <v>1</v>
          </cell>
          <cell r="AK205">
            <v>1</v>
          </cell>
          <cell r="AL205">
            <v>1</v>
          </cell>
          <cell r="AN205">
            <v>6313.2764020486557</v>
          </cell>
          <cell r="AO205">
            <v>6313.2764020486557</v>
          </cell>
          <cell r="AP205">
            <v>6313.2764020486557</v>
          </cell>
          <cell r="AQ205">
            <v>6313.2764020486557</v>
          </cell>
          <cell r="AR205">
            <v>6313.2764020486557</v>
          </cell>
          <cell r="AS205">
            <v>6313.2764020486557</v>
          </cell>
          <cell r="AT205">
            <v>6313.2764020486557</v>
          </cell>
          <cell r="AU205">
            <v>6313.2764020486557</v>
          </cell>
          <cell r="AV205">
            <v>6313.2764020486557</v>
          </cell>
          <cell r="AW205">
            <v>6313.2764020486557</v>
          </cell>
          <cell r="AX205">
            <v>6313.2764020486557</v>
          </cell>
          <cell r="AY205">
            <v>6313.2764020486557</v>
          </cell>
        </row>
        <row r="206">
          <cell r="A206" t="str">
            <v>BIOMICA</v>
          </cell>
          <cell r="B206">
            <v>89</v>
          </cell>
          <cell r="C206" t="str">
            <v>SOW - Div</v>
          </cell>
          <cell r="D206" t="str">
            <v>Biomica</v>
          </cell>
          <cell r="E206" t="str">
            <v>Biomica RD</v>
          </cell>
          <cell r="G206" t="str">
            <v>CRA</v>
          </cell>
          <cell r="H206">
            <v>1</v>
          </cell>
          <cell r="I206">
            <v>12000</v>
          </cell>
          <cell r="J206"/>
          <cell r="K206">
            <v>12000</v>
          </cell>
          <cell r="L206">
            <v>813</v>
          </cell>
          <cell r="M206">
            <v>943.4</v>
          </cell>
          <cell r="N206">
            <v>157.5</v>
          </cell>
          <cell r="O206">
            <v>227.27272727272728</v>
          </cell>
          <cell r="P206"/>
          <cell r="Q206">
            <v>780</v>
          </cell>
          <cell r="R206">
            <v>830.62895454545446</v>
          </cell>
          <cell r="S206">
            <v>1000</v>
          </cell>
          <cell r="T206">
            <v>900</v>
          </cell>
          <cell r="U206">
            <v>68.400000000000006</v>
          </cell>
          <cell r="V206">
            <v>574.99999999999989</v>
          </cell>
          <cell r="W206">
            <v>2500</v>
          </cell>
          <cell r="X206">
            <v>1500</v>
          </cell>
          <cell r="Y206">
            <v>22295.201681818184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</row>
        <row r="207">
          <cell r="A207" t="str">
            <v>BIOMICA</v>
          </cell>
          <cell r="B207">
            <v>89</v>
          </cell>
          <cell r="C207" t="str">
            <v>Non SOW</v>
          </cell>
          <cell r="D207" t="str">
            <v>Biomica</v>
          </cell>
          <cell r="E207" t="str">
            <v>BD</v>
          </cell>
          <cell r="G207" t="str">
            <v>CEO</v>
          </cell>
          <cell r="H207">
            <v>1</v>
          </cell>
          <cell r="I207">
            <v>43000</v>
          </cell>
          <cell r="J207"/>
          <cell r="K207">
            <v>43000</v>
          </cell>
          <cell r="L207">
            <v>813</v>
          </cell>
          <cell r="M207">
            <v>3000</v>
          </cell>
          <cell r="N207">
            <v>157.5</v>
          </cell>
          <cell r="O207">
            <v>814.39393939393938</v>
          </cell>
          <cell r="P207">
            <v>120</v>
          </cell>
          <cell r="Q207">
            <v>2795</v>
          </cell>
          <cell r="R207">
            <v>3013.0410000000002</v>
          </cell>
          <cell r="S207">
            <v>3583.333333333333</v>
          </cell>
          <cell r="T207">
            <v>3225</v>
          </cell>
          <cell r="U207">
            <v>245.10000000000002</v>
          </cell>
          <cell r="V207">
            <v>0</v>
          </cell>
          <cell r="W207"/>
          <cell r="X207"/>
          <cell r="Y207">
            <v>60766.368272727268</v>
          </cell>
          <cell r="AA207">
            <v>1</v>
          </cell>
          <cell r="AB207">
            <v>1</v>
          </cell>
          <cell r="AC207">
            <v>1</v>
          </cell>
          <cell r="AD207">
            <v>1</v>
          </cell>
          <cell r="AE207">
            <v>1</v>
          </cell>
          <cell r="AF207">
            <v>1</v>
          </cell>
          <cell r="AG207">
            <v>1</v>
          </cell>
          <cell r="AH207">
            <v>1</v>
          </cell>
          <cell r="AI207">
            <v>1</v>
          </cell>
          <cell r="AJ207">
            <v>1</v>
          </cell>
          <cell r="AK207">
            <v>1</v>
          </cell>
          <cell r="AL207">
            <v>1</v>
          </cell>
          <cell r="AN207">
            <v>17117.286837387965</v>
          </cell>
          <cell r="AO207">
            <v>17117.286837387965</v>
          </cell>
          <cell r="AP207">
            <v>17117.286837387965</v>
          </cell>
          <cell r="AQ207">
            <v>17117.286837387965</v>
          </cell>
          <cell r="AR207">
            <v>17117.286837387965</v>
          </cell>
          <cell r="AS207">
            <v>17117.286837387965</v>
          </cell>
          <cell r="AT207">
            <v>17117.286837387965</v>
          </cell>
          <cell r="AU207">
            <v>17117.286837387965</v>
          </cell>
          <cell r="AV207">
            <v>17117.286837387965</v>
          </cell>
          <cell r="AW207">
            <v>17117.286837387965</v>
          </cell>
          <cell r="AX207">
            <v>17117.286837387965</v>
          </cell>
          <cell r="AY207">
            <v>17117.286837387965</v>
          </cell>
        </row>
        <row r="208">
          <cell r="A208"/>
          <cell r="B208"/>
          <cell r="D208"/>
          <cell r="I208"/>
          <cell r="J208"/>
          <cell r="K208"/>
          <cell r="L208"/>
          <cell r="M208"/>
          <cell r="N208"/>
          <cell r="O208"/>
          <cell r="P208"/>
          <cell r="Q208"/>
          <cell r="R208"/>
          <cell r="S208"/>
          <cell r="T208"/>
          <cell r="U208"/>
          <cell r="V208"/>
          <cell r="W208"/>
          <cell r="X208"/>
          <cell r="Y208"/>
          <cell r="AA208"/>
          <cell r="AB208"/>
          <cell r="AC208"/>
          <cell r="AD208"/>
          <cell r="AE208"/>
          <cell r="AF208"/>
          <cell r="AG208"/>
          <cell r="AH208"/>
          <cell r="AI208"/>
          <cell r="AJ208"/>
          <cell r="AK208"/>
          <cell r="AL208"/>
          <cell r="AN208"/>
          <cell r="AO208"/>
          <cell r="AP208"/>
          <cell r="AQ208"/>
          <cell r="AR208"/>
          <cell r="AS208"/>
          <cell r="AT208"/>
          <cell r="AU208"/>
          <cell r="AV208"/>
          <cell r="AW208"/>
          <cell r="AX208"/>
          <cell r="AY208"/>
        </row>
        <row r="209">
          <cell r="A209" t="str">
            <v>Evofuel</v>
          </cell>
          <cell r="B209">
            <v>25</v>
          </cell>
          <cell r="C209" t="str">
            <v>Non SOW</v>
          </cell>
          <cell r="D209" t="str">
            <v>Evofuel</v>
          </cell>
          <cell r="E209" t="str">
            <v>BD</v>
          </cell>
          <cell r="F209">
            <v>28840387</v>
          </cell>
          <cell r="G209" t="str">
            <v>Asaf Dotan</v>
          </cell>
          <cell r="H209">
            <v>0.6</v>
          </cell>
          <cell r="I209">
            <v>20250</v>
          </cell>
          <cell r="J209">
            <v>-1240</v>
          </cell>
          <cell r="K209">
            <v>32510</v>
          </cell>
          <cell r="L209">
            <v>813</v>
          </cell>
          <cell r="M209">
            <v>0</v>
          </cell>
          <cell r="N209">
            <v>189</v>
          </cell>
          <cell r="O209">
            <v>383.52272727272731</v>
          </cell>
          <cell r="Q209">
            <v>2113.15</v>
          </cell>
          <cell r="R209">
            <v>2312.2052045454548</v>
          </cell>
          <cell r="S209">
            <v>2709.1666666666665</v>
          </cell>
          <cell r="T209">
            <v>2438.25</v>
          </cell>
          <cell r="U209">
            <v>185.30700000000002</v>
          </cell>
          <cell r="V209">
            <v>1617.1875</v>
          </cell>
          <cell r="W209">
            <v>3633.2395749999996</v>
          </cell>
          <cell r="X209">
            <v>1000</v>
          </cell>
          <cell r="Y209">
            <v>49904.028673484849</v>
          </cell>
          <cell r="AA209">
            <v>0.6</v>
          </cell>
          <cell r="AB209">
            <v>0.6</v>
          </cell>
          <cell r="AC209">
            <v>0.6</v>
          </cell>
          <cell r="AD209">
            <v>0.6</v>
          </cell>
          <cell r="AE209">
            <v>0.6</v>
          </cell>
          <cell r="AF209">
            <v>0.6</v>
          </cell>
          <cell r="AG209">
            <v>0.6</v>
          </cell>
          <cell r="AH209">
            <v>0.6</v>
          </cell>
          <cell r="AI209">
            <v>0.6</v>
          </cell>
          <cell r="AJ209">
            <v>0.6</v>
          </cell>
          <cell r="AK209">
            <v>0.6</v>
          </cell>
          <cell r="AL209">
            <v>0.6</v>
          </cell>
          <cell r="AN209">
            <v>8434.4837194622269</v>
          </cell>
          <cell r="AO209">
            <v>8434.4837194622269</v>
          </cell>
          <cell r="AP209">
            <v>8434.4837194622269</v>
          </cell>
          <cell r="AQ209">
            <v>8434.4837194622269</v>
          </cell>
          <cell r="AR209">
            <v>8434.4837194622269</v>
          </cell>
          <cell r="AS209">
            <v>8434.4837194622269</v>
          </cell>
          <cell r="AT209">
            <v>8434.4837194622269</v>
          </cell>
          <cell r="AU209">
            <v>8434.4837194622269</v>
          </cell>
          <cell r="AV209">
            <v>8434.4837194622269</v>
          </cell>
          <cell r="AW209">
            <v>8434.4837194622269</v>
          </cell>
          <cell r="AX209">
            <v>8434.4837194622269</v>
          </cell>
          <cell r="AY209">
            <v>8434.4837194622269</v>
          </cell>
        </row>
        <row r="210">
          <cell r="A210" t="str">
            <v>Evofuel</v>
          </cell>
          <cell r="B210">
            <v>25</v>
          </cell>
          <cell r="C210" t="str">
            <v>Non SOW</v>
          </cell>
          <cell r="D210" t="str">
            <v>Evofuel</v>
          </cell>
          <cell r="E210" t="str">
            <v>Evofuel</v>
          </cell>
          <cell r="F210">
            <v>56458011</v>
          </cell>
          <cell r="G210" t="str">
            <v>Ronen Sandler</v>
          </cell>
          <cell r="H210">
            <v>0.8</v>
          </cell>
          <cell r="I210">
            <v>15000</v>
          </cell>
          <cell r="J210">
            <v>0</v>
          </cell>
          <cell r="K210">
            <v>18750</v>
          </cell>
          <cell r="L210">
            <v>813</v>
          </cell>
          <cell r="M210">
            <v>0</v>
          </cell>
          <cell r="N210">
            <v>189</v>
          </cell>
          <cell r="O210">
            <v>284.09090909090912</v>
          </cell>
          <cell r="P210">
            <v>120</v>
          </cell>
          <cell r="Q210">
            <v>1218.75</v>
          </cell>
          <cell r="R210">
            <v>1281.747818181818</v>
          </cell>
          <cell r="S210">
            <v>1562.5</v>
          </cell>
          <cell r="T210">
            <v>1406.25</v>
          </cell>
          <cell r="U210">
            <v>106.875</v>
          </cell>
          <cell r="V210">
            <v>898.4375</v>
          </cell>
          <cell r="W210">
            <v>3200</v>
          </cell>
          <cell r="X210">
            <v>2000</v>
          </cell>
          <cell r="Y210">
            <v>31830.651227272727</v>
          </cell>
          <cell r="AA210">
            <v>0.8</v>
          </cell>
          <cell r="AB210">
            <v>0.8</v>
          </cell>
          <cell r="AC210">
            <v>0.8</v>
          </cell>
          <cell r="AD210">
            <v>0.8</v>
          </cell>
          <cell r="AE210">
            <v>0.8</v>
          </cell>
          <cell r="AF210">
            <v>0.8</v>
          </cell>
          <cell r="AG210">
            <v>0.8</v>
          </cell>
          <cell r="AH210">
            <v>0.8</v>
          </cell>
          <cell r="AI210">
            <v>0.8</v>
          </cell>
          <cell r="AJ210">
            <v>0.8</v>
          </cell>
          <cell r="AK210">
            <v>0.8</v>
          </cell>
          <cell r="AL210">
            <v>0.8</v>
          </cell>
          <cell r="AN210">
            <v>7173.1045019206149</v>
          </cell>
          <cell r="AO210">
            <v>7173.1045019206149</v>
          </cell>
          <cell r="AP210">
            <v>7173.1045019206149</v>
          </cell>
          <cell r="AQ210">
            <v>7173.1045019206149</v>
          </cell>
          <cell r="AR210">
            <v>7173.1045019206149</v>
          </cell>
          <cell r="AS210">
            <v>7173.1045019206149</v>
          </cell>
          <cell r="AT210">
            <v>7173.1045019206149</v>
          </cell>
          <cell r="AU210">
            <v>7173.1045019206149</v>
          </cell>
          <cell r="AV210">
            <v>7173.1045019206149</v>
          </cell>
          <cell r="AW210">
            <v>7173.1045019206149</v>
          </cell>
          <cell r="AX210">
            <v>7173.1045019206149</v>
          </cell>
          <cell r="AY210">
            <v>7173.1045019206149</v>
          </cell>
        </row>
        <row r="211">
          <cell r="AX211" t="str">
            <v/>
          </cell>
          <cell r="AY211" t="str">
            <v/>
          </cell>
        </row>
        <row r="212">
          <cell r="AX212"/>
          <cell r="AY212"/>
        </row>
        <row r="213">
          <cell r="AX213"/>
          <cell r="AY213"/>
        </row>
        <row r="214">
          <cell r="G214"/>
          <cell r="H214">
            <v>35.25</v>
          </cell>
          <cell r="I214">
            <v>956850</v>
          </cell>
          <cell r="J214">
            <v>-44035</v>
          </cell>
          <cell r="K214">
            <v>933065</v>
          </cell>
          <cell r="L214">
            <v>29268</v>
          </cell>
          <cell r="M214">
            <v>12943.4</v>
          </cell>
          <cell r="N214">
            <v>7208.2</v>
          </cell>
          <cell r="O214">
            <v>18122.159090909096</v>
          </cell>
          <cell r="P214">
            <v>1830</v>
          </cell>
          <cell r="Q214">
            <v>60649.225000000013</v>
          </cell>
          <cell r="R214">
            <v>60410.022704545445</v>
          </cell>
          <cell r="S214">
            <v>77755.416666666672</v>
          </cell>
          <cell r="T214">
            <v>69979.875</v>
          </cell>
          <cell r="U214">
            <v>9463.4705000000031</v>
          </cell>
          <cell r="V214">
            <v>92688.125</v>
          </cell>
          <cell r="W214">
            <v>92203.195324999979</v>
          </cell>
          <cell r="X214">
            <v>58000</v>
          </cell>
          <cell r="Y214">
            <v>1523586.0892871218</v>
          </cell>
          <cell r="AA214">
            <v>25.400000000000002</v>
          </cell>
          <cell r="AN214">
            <v>305891.71664221084</v>
          </cell>
          <cell r="AO214">
            <v>305891.71664221084</v>
          </cell>
          <cell r="AP214">
            <v>306503.07346892875</v>
          </cell>
          <cell r="AQ214">
            <v>306503.07346892875</v>
          </cell>
          <cell r="AR214">
            <v>315919.86636521557</v>
          </cell>
          <cell r="AS214">
            <v>315919.86636521557</v>
          </cell>
          <cell r="AT214">
            <v>315919.86636521557</v>
          </cell>
          <cell r="AU214">
            <v>315919.86636521557</v>
          </cell>
          <cell r="AV214">
            <v>315919.86636521557</v>
          </cell>
          <cell r="AW214">
            <v>315919.86636521557</v>
          </cell>
          <cell r="AX214">
            <v>315919.86636521557</v>
          </cell>
          <cell r="AY214">
            <v>315919.86636521557</v>
          </cell>
        </row>
        <row r="215">
          <cell r="I215">
            <v>2786725</v>
          </cell>
          <cell r="J215">
            <v>-43313</v>
          </cell>
          <cell r="K215">
            <v>2743412</v>
          </cell>
          <cell r="L215">
            <v>129267</v>
          </cell>
          <cell r="M215">
            <v>79914.38</v>
          </cell>
          <cell r="N215">
            <v>31180.7</v>
          </cell>
          <cell r="O215">
            <v>34834.0625</v>
          </cell>
          <cell r="P215">
            <v>2520</v>
          </cell>
          <cell r="Q215">
            <v>178321.78</v>
          </cell>
          <cell r="R215">
            <v>186157.09235250004</v>
          </cell>
          <cell r="S215">
            <v>228617.66666666654</v>
          </cell>
          <cell r="T215">
            <v>205755.9</v>
          </cell>
          <cell r="U215">
            <v>15637.448400000007</v>
          </cell>
          <cell r="V215">
            <v>189732.06018518523</v>
          </cell>
          <cell r="W215">
            <v>90336.280599999969</v>
          </cell>
          <cell r="X215">
            <v>53700</v>
          </cell>
          <cell r="Y215">
            <v>4095767.8521858309</v>
          </cell>
          <cell r="AN215">
            <v>1135431.7562683087</v>
          </cell>
          <cell r="AO215">
            <v>1135431.7562683087</v>
          </cell>
          <cell r="AP215">
            <v>1133845.9826302805</v>
          </cell>
          <cell r="AQ215">
            <v>1133845.9826302805</v>
          </cell>
          <cell r="AR215">
            <v>1129798.154249999</v>
          </cell>
          <cell r="AS215">
            <v>1129798.154249999</v>
          </cell>
          <cell r="AT215">
            <v>1129798.154249999</v>
          </cell>
          <cell r="AU215">
            <v>1129798.154249999</v>
          </cell>
          <cell r="AV215">
            <v>1129798.154249999</v>
          </cell>
          <cell r="AW215">
            <v>1129798.154249999</v>
          </cell>
          <cell r="AX215">
            <v>1129798.154249999</v>
          </cell>
          <cell r="AY215">
            <v>1129798.154249999</v>
          </cell>
        </row>
        <row r="216">
          <cell r="AN216">
            <v>-829540.03962609789</v>
          </cell>
          <cell r="AO216">
            <v>-829540.03962609789</v>
          </cell>
          <cell r="AP216">
            <v>-827342.90916135185</v>
          </cell>
          <cell r="AQ216">
            <v>-827342.90916135185</v>
          </cell>
          <cell r="AR216">
            <v>-813878.28788478347</v>
          </cell>
          <cell r="AS216">
            <v>-813878.28788478347</v>
          </cell>
          <cell r="AT216">
            <v>-813878.28788478347</v>
          </cell>
          <cell r="AU216">
            <v>-813878.28788478347</v>
          </cell>
          <cell r="AV216">
            <v>-813878.28788478347</v>
          </cell>
          <cell r="AW216">
            <v>-813878.28788478347</v>
          </cell>
          <cell r="AX216">
            <v>-813878.28788478347</v>
          </cell>
          <cell r="AY216">
            <v>-813878.28788478347</v>
          </cell>
        </row>
        <row r="218">
          <cell r="A218" t="str">
            <v>Inc</v>
          </cell>
          <cell r="C218" t="str">
            <v>SOW</v>
          </cell>
          <cell r="D218" t="str">
            <v>Platform</v>
          </cell>
          <cell r="E218" t="str">
            <v>USA site</v>
          </cell>
          <cell r="F218">
            <v>493024755</v>
          </cell>
          <cell r="G218" t="str">
            <v>Brandon Potashnick</v>
          </cell>
          <cell r="H218">
            <v>1</v>
          </cell>
          <cell r="I218">
            <v>50000</v>
          </cell>
          <cell r="K218">
            <v>50000</v>
          </cell>
          <cell r="N218">
            <v>480</v>
          </cell>
          <cell r="Q218">
            <v>2000</v>
          </cell>
          <cell r="R218">
            <v>4166.666666666667</v>
          </cell>
          <cell r="U218">
            <v>390.625</v>
          </cell>
          <cell r="V218">
            <v>2083.3333333333335</v>
          </cell>
          <cell r="Y218">
            <v>59120.625</v>
          </cell>
          <cell r="AA218">
            <v>1</v>
          </cell>
          <cell r="AB218">
            <v>1</v>
          </cell>
          <cell r="AC218">
            <v>1</v>
          </cell>
          <cell r="AD218">
            <v>1</v>
          </cell>
          <cell r="AE218">
            <v>1</v>
          </cell>
          <cell r="AF218">
            <v>1</v>
          </cell>
          <cell r="AG218">
            <v>1</v>
          </cell>
          <cell r="AH218">
            <v>1</v>
          </cell>
          <cell r="AI218">
            <v>1</v>
          </cell>
          <cell r="AJ218">
            <v>1</v>
          </cell>
          <cell r="AK218">
            <v>1</v>
          </cell>
          <cell r="AL218">
            <v>1</v>
          </cell>
          <cell r="AN218">
            <v>4926.71875</v>
          </cell>
          <cell r="AO218">
            <v>4926.71875</v>
          </cell>
          <cell r="AP218">
            <v>4926.71875</v>
          </cell>
          <cell r="AQ218">
            <v>4926.71875</v>
          </cell>
          <cell r="AR218">
            <v>4926.71875</v>
          </cell>
          <cell r="AS218">
            <v>4926.71875</v>
          </cell>
          <cell r="AT218">
            <v>4926.71875</v>
          </cell>
          <cell r="AU218">
            <v>4926.71875</v>
          </cell>
          <cell r="AV218">
            <v>4926.71875</v>
          </cell>
          <cell r="AW218">
            <v>4926.71875</v>
          </cell>
          <cell r="AX218">
            <v>4926.71875</v>
          </cell>
          <cell r="AY218">
            <v>4926.71875</v>
          </cell>
        </row>
        <row r="219">
          <cell r="A219" t="str">
            <v>Inc</v>
          </cell>
          <cell r="C219" t="str">
            <v>SOW</v>
          </cell>
          <cell r="D219" t="str">
            <v>Platform</v>
          </cell>
          <cell r="E219" t="str">
            <v>Platform Directors USA</v>
          </cell>
          <cell r="F219">
            <v>39702245</v>
          </cell>
          <cell r="G219" t="str">
            <v>James Presnail</v>
          </cell>
          <cell r="H219">
            <v>1</v>
          </cell>
          <cell r="I219">
            <v>150720</v>
          </cell>
          <cell r="K219">
            <v>150720</v>
          </cell>
          <cell r="N219">
            <v>7680</v>
          </cell>
          <cell r="Q219">
            <v>6028.8</v>
          </cell>
          <cell r="R219">
            <v>12057.6</v>
          </cell>
          <cell r="U219">
            <v>1422.8999999999999</v>
          </cell>
          <cell r="V219">
            <v>39000</v>
          </cell>
          <cell r="Y219">
            <v>216909.3</v>
          </cell>
          <cell r="AA219">
            <v>1</v>
          </cell>
          <cell r="AB219">
            <v>1</v>
          </cell>
          <cell r="AC219">
            <v>1</v>
          </cell>
          <cell r="AD219">
            <v>1</v>
          </cell>
          <cell r="AE219">
            <v>1</v>
          </cell>
          <cell r="AF219">
            <v>1</v>
          </cell>
          <cell r="AG219">
            <v>1</v>
          </cell>
          <cell r="AH219">
            <v>1</v>
          </cell>
          <cell r="AI219">
            <v>1</v>
          </cell>
          <cell r="AJ219">
            <v>1</v>
          </cell>
          <cell r="AK219">
            <v>1</v>
          </cell>
          <cell r="AL219">
            <v>1</v>
          </cell>
          <cell r="AN219">
            <v>18075.774999999998</v>
          </cell>
          <cell r="AO219">
            <v>18075.774999999998</v>
          </cell>
          <cell r="AP219">
            <v>18075.774999999998</v>
          </cell>
          <cell r="AQ219">
            <v>18075.774999999998</v>
          </cell>
          <cell r="AR219">
            <v>18075.774999999998</v>
          </cell>
          <cell r="AS219">
            <v>18075.774999999998</v>
          </cell>
          <cell r="AT219">
            <v>18075.774999999998</v>
          </cell>
          <cell r="AU219">
            <v>18075.774999999998</v>
          </cell>
          <cell r="AV219">
            <v>18075.774999999998</v>
          </cell>
          <cell r="AW219">
            <v>18075.774999999998</v>
          </cell>
          <cell r="AX219">
            <v>18075.774999999998</v>
          </cell>
          <cell r="AY219">
            <v>18075.774999999998</v>
          </cell>
        </row>
        <row r="220">
          <cell r="A220" t="str">
            <v>Inc</v>
          </cell>
          <cell r="C220" t="str">
            <v>SOW</v>
          </cell>
          <cell r="D220" t="str">
            <v>Platform</v>
          </cell>
          <cell r="E220" t="str">
            <v>USA site</v>
          </cell>
          <cell r="F220">
            <v>483158436</v>
          </cell>
          <cell r="G220" t="str">
            <v>Michael Allen Rausch</v>
          </cell>
          <cell r="H220">
            <v>1</v>
          </cell>
          <cell r="I220">
            <v>56000</v>
          </cell>
          <cell r="K220">
            <v>56000</v>
          </cell>
          <cell r="N220">
            <v>6000</v>
          </cell>
          <cell r="Q220">
            <v>2240</v>
          </cell>
          <cell r="R220">
            <v>4666.666666666667</v>
          </cell>
          <cell r="U220">
            <v>437.5</v>
          </cell>
          <cell r="V220">
            <v>2333.3333333333335</v>
          </cell>
          <cell r="Y220">
            <v>71677.5</v>
          </cell>
          <cell r="AA220">
            <v>1</v>
          </cell>
          <cell r="AB220">
            <v>1</v>
          </cell>
          <cell r="AC220">
            <v>1</v>
          </cell>
          <cell r="AD220">
            <v>1</v>
          </cell>
          <cell r="AE220">
            <v>1</v>
          </cell>
          <cell r="AF220">
            <v>1</v>
          </cell>
          <cell r="AG220">
            <v>1</v>
          </cell>
          <cell r="AH220">
            <v>1</v>
          </cell>
          <cell r="AI220">
            <v>1</v>
          </cell>
          <cell r="AJ220">
            <v>1</v>
          </cell>
          <cell r="AK220">
            <v>1</v>
          </cell>
          <cell r="AL220">
            <v>1</v>
          </cell>
          <cell r="AN220">
            <v>5973.125</v>
          </cell>
          <cell r="AO220">
            <v>5973.125</v>
          </cell>
          <cell r="AP220">
            <v>5973.125</v>
          </cell>
          <cell r="AQ220">
            <v>5973.125</v>
          </cell>
          <cell r="AR220">
            <v>5973.125</v>
          </cell>
          <cell r="AS220">
            <v>5973.125</v>
          </cell>
          <cell r="AT220">
            <v>5973.125</v>
          </cell>
          <cell r="AU220">
            <v>5973.125</v>
          </cell>
          <cell r="AV220">
            <v>5973.125</v>
          </cell>
          <cell r="AW220">
            <v>5973.125</v>
          </cell>
          <cell r="AX220">
            <v>5973.125</v>
          </cell>
          <cell r="AY220">
            <v>5973.125</v>
          </cell>
        </row>
        <row r="221">
          <cell r="A221" t="str">
            <v>Inc</v>
          </cell>
          <cell r="C221" t="str">
            <v>SOW</v>
          </cell>
          <cell r="D221" t="str">
            <v>Platform</v>
          </cell>
          <cell r="E221" t="str">
            <v>USA site</v>
          </cell>
          <cell r="F221">
            <v>218021149</v>
          </cell>
          <cell r="G221" t="str">
            <v>Lisa Meihls</v>
          </cell>
          <cell r="H221">
            <v>1</v>
          </cell>
          <cell r="I221">
            <v>85000</v>
          </cell>
          <cell r="K221">
            <v>85000</v>
          </cell>
          <cell r="N221">
            <v>8400</v>
          </cell>
          <cell r="Q221">
            <v>3400</v>
          </cell>
          <cell r="R221">
            <v>7083.3333333333339</v>
          </cell>
          <cell r="U221">
            <v>664.0625</v>
          </cell>
          <cell r="V221">
            <v>3541.6666666666665</v>
          </cell>
          <cell r="Y221">
            <v>108089.0625</v>
          </cell>
          <cell r="AA221">
            <v>1</v>
          </cell>
          <cell r="AB221">
            <v>1</v>
          </cell>
          <cell r="AC221">
            <v>1</v>
          </cell>
          <cell r="AD221">
            <v>1</v>
          </cell>
          <cell r="AE221">
            <v>1</v>
          </cell>
          <cell r="AF221">
            <v>1</v>
          </cell>
          <cell r="AG221">
            <v>1</v>
          </cell>
          <cell r="AH221">
            <v>1</v>
          </cell>
          <cell r="AI221">
            <v>1</v>
          </cell>
          <cell r="AJ221">
            <v>1</v>
          </cell>
          <cell r="AK221">
            <v>1</v>
          </cell>
          <cell r="AL221">
            <v>1</v>
          </cell>
          <cell r="AN221">
            <v>9007.421875</v>
          </cell>
          <cell r="AO221">
            <v>9007.421875</v>
          </cell>
          <cell r="AP221">
            <v>9007.421875</v>
          </cell>
          <cell r="AQ221">
            <v>9007.421875</v>
          </cell>
          <cell r="AR221">
            <v>9007.421875</v>
          </cell>
          <cell r="AS221">
            <v>9007.421875</v>
          </cell>
          <cell r="AT221">
            <v>9007.421875</v>
          </cell>
          <cell r="AU221">
            <v>9007.421875</v>
          </cell>
          <cell r="AV221">
            <v>9007.421875</v>
          </cell>
          <cell r="AW221">
            <v>9007.421875</v>
          </cell>
          <cell r="AX221">
            <v>9007.421875</v>
          </cell>
          <cell r="AY221">
            <v>9007.421875</v>
          </cell>
        </row>
        <row r="222">
          <cell r="A222" t="str">
            <v>Inc</v>
          </cell>
          <cell r="C222" t="str">
            <v>SOW</v>
          </cell>
          <cell r="D222" t="str">
            <v>Platform</v>
          </cell>
          <cell r="E222" t="str">
            <v>USA site</v>
          </cell>
          <cell r="F222">
            <v>494062686</v>
          </cell>
          <cell r="G222" t="str">
            <v>Elyse M Holder</v>
          </cell>
          <cell r="H222">
            <v>1</v>
          </cell>
          <cell r="I222">
            <v>37440</v>
          </cell>
          <cell r="K222">
            <v>37440</v>
          </cell>
          <cell r="N222">
            <v>7800</v>
          </cell>
          <cell r="Q222">
            <v>1497.6000000000001</v>
          </cell>
          <cell r="R222">
            <v>3120</v>
          </cell>
          <cell r="U222">
            <v>292.5</v>
          </cell>
          <cell r="V222">
            <v>1560</v>
          </cell>
          <cell r="Y222">
            <v>51710.1</v>
          </cell>
          <cell r="AA222">
            <v>0.85</v>
          </cell>
          <cell r="AB222">
            <v>0.85</v>
          </cell>
          <cell r="AC222">
            <v>0.85</v>
          </cell>
          <cell r="AD222">
            <v>0.85</v>
          </cell>
          <cell r="AE222">
            <v>0.85</v>
          </cell>
          <cell r="AF222">
            <v>0.85</v>
          </cell>
          <cell r="AG222">
            <v>0.85</v>
          </cell>
          <cell r="AH222">
            <v>0.85</v>
          </cell>
          <cell r="AI222">
            <v>0.85</v>
          </cell>
          <cell r="AJ222">
            <v>0.85</v>
          </cell>
          <cell r="AK222">
            <v>0.85</v>
          </cell>
          <cell r="AL222">
            <v>0.85</v>
          </cell>
          <cell r="AN222">
            <v>3662.7987499999999</v>
          </cell>
          <cell r="AO222">
            <v>3662.7987499999999</v>
          </cell>
          <cell r="AP222">
            <v>3662.7987499999999</v>
          </cell>
          <cell r="AQ222">
            <v>3662.7987499999999</v>
          </cell>
          <cell r="AR222">
            <v>3662.7987499999999</v>
          </cell>
          <cell r="AS222">
            <v>3662.7987499999999</v>
          </cell>
          <cell r="AT222">
            <v>3662.7987499999999</v>
          </cell>
          <cell r="AU222">
            <v>3662.7987499999999</v>
          </cell>
          <cell r="AV222">
            <v>3662.7987499999999</v>
          </cell>
          <cell r="AW222">
            <v>3662.7987499999999</v>
          </cell>
          <cell r="AX222">
            <v>3662.7987499999999</v>
          </cell>
          <cell r="AY222">
            <v>3662.7987499999999</v>
          </cell>
        </row>
        <row r="223">
          <cell r="A223" t="str">
            <v>Inc</v>
          </cell>
          <cell r="C223" t="str">
            <v>SOW</v>
          </cell>
          <cell r="D223" t="str">
            <v>Platform</v>
          </cell>
          <cell r="E223" t="str">
            <v>USA site</v>
          </cell>
          <cell r="F223">
            <v>494062686</v>
          </cell>
          <cell r="G223" t="str">
            <v>Elyse M Holder</v>
          </cell>
          <cell r="H223">
            <v>1</v>
          </cell>
          <cell r="I223">
            <v>37440</v>
          </cell>
          <cell r="K223">
            <v>37440</v>
          </cell>
          <cell r="N223">
            <v>7800</v>
          </cell>
          <cell r="Q223">
            <v>1497.6000000000001</v>
          </cell>
          <cell r="R223">
            <v>3120</v>
          </cell>
          <cell r="U223">
            <v>292.5</v>
          </cell>
          <cell r="V223">
            <v>1560</v>
          </cell>
          <cell r="Y223">
            <v>51710.1</v>
          </cell>
          <cell r="AA223">
            <v>0.15</v>
          </cell>
          <cell r="AB223">
            <v>0.15</v>
          </cell>
          <cell r="AC223">
            <v>0.15</v>
          </cell>
          <cell r="AD223">
            <v>0.15</v>
          </cell>
          <cell r="AE223">
            <v>0.15</v>
          </cell>
          <cell r="AF223">
            <v>0.15</v>
          </cell>
          <cell r="AG223">
            <v>0.15</v>
          </cell>
          <cell r="AH223">
            <v>0.15</v>
          </cell>
          <cell r="AI223">
            <v>0.15</v>
          </cell>
          <cell r="AJ223">
            <v>0.15</v>
          </cell>
          <cell r="AK223">
            <v>0.15</v>
          </cell>
          <cell r="AL223">
            <v>0.15</v>
          </cell>
          <cell r="AN223">
            <v>646.37624999999991</v>
          </cell>
          <cell r="AO223">
            <v>646.37624999999991</v>
          </cell>
          <cell r="AP223">
            <v>646.37624999999991</v>
          </cell>
          <cell r="AQ223">
            <v>646.37624999999991</v>
          </cell>
          <cell r="AR223">
            <v>646.37624999999991</v>
          </cell>
          <cell r="AS223">
            <v>646.37624999999991</v>
          </cell>
          <cell r="AT223">
            <v>646.37624999999991</v>
          </cell>
          <cell r="AU223">
            <v>646.37624999999991</v>
          </cell>
          <cell r="AV223">
            <v>646.37624999999991</v>
          </cell>
          <cell r="AW223">
            <v>646.37624999999991</v>
          </cell>
          <cell r="AX223">
            <v>646.37624999999991</v>
          </cell>
          <cell r="AY223">
            <v>646.37624999999991</v>
          </cell>
        </row>
        <row r="224">
          <cell r="A224" t="str">
            <v>Inc</v>
          </cell>
          <cell r="C224" t="str">
            <v>SOW</v>
          </cell>
          <cell r="D224" t="str">
            <v>Platform</v>
          </cell>
          <cell r="E224" t="str">
            <v>USA site</v>
          </cell>
          <cell r="F224">
            <v>487984989</v>
          </cell>
          <cell r="G224" t="str">
            <v>Alyson Seevers</v>
          </cell>
          <cell r="H224">
            <v>1</v>
          </cell>
          <cell r="I224">
            <v>37440</v>
          </cell>
          <cell r="K224">
            <v>37440</v>
          </cell>
          <cell r="N224">
            <v>7920</v>
          </cell>
          <cell r="Q224">
            <v>1497.6000000000001</v>
          </cell>
          <cell r="R224">
            <v>3120</v>
          </cell>
          <cell r="U224">
            <v>292.5</v>
          </cell>
          <cell r="V224">
            <v>1560</v>
          </cell>
          <cell r="Y224">
            <v>51830.1</v>
          </cell>
          <cell r="AA224">
            <v>0.4</v>
          </cell>
          <cell r="AB224">
            <v>0.4</v>
          </cell>
          <cell r="AC224">
            <v>0.4</v>
          </cell>
          <cell r="AD224">
            <v>0.4</v>
          </cell>
          <cell r="AE224">
            <v>0.4</v>
          </cell>
          <cell r="AF224">
            <v>0.4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N224">
            <v>1727.67</v>
          </cell>
          <cell r="AO224">
            <v>1727.67</v>
          </cell>
          <cell r="AP224">
            <v>1727.67</v>
          </cell>
          <cell r="AQ224">
            <v>1727.67</v>
          </cell>
          <cell r="AR224">
            <v>1727.67</v>
          </cell>
          <cell r="AS224">
            <v>1727.67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</row>
        <row r="225">
          <cell r="A225" t="str">
            <v>Inc</v>
          </cell>
          <cell r="C225" t="str">
            <v>Non SOW</v>
          </cell>
          <cell r="D225" t="str">
            <v>Corporate</v>
          </cell>
          <cell r="E225" t="str">
            <v>Purchasing</v>
          </cell>
          <cell r="F225">
            <v>487984989</v>
          </cell>
          <cell r="G225" t="str">
            <v>Alyson Seevers</v>
          </cell>
          <cell r="H225">
            <v>1</v>
          </cell>
          <cell r="I225">
            <v>37440</v>
          </cell>
          <cell r="K225">
            <v>37440</v>
          </cell>
          <cell r="N225">
            <v>7920</v>
          </cell>
          <cell r="Q225">
            <v>1497.6000000000001</v>
          </cell>
          <cell r="R225">
            <v>3120</v>
          </cell>
          <cell r="U225">
            <v>292.5</v>
          </cell>
          <cell r="V225">
            <v>1560</v>
          </cell>
          <cell r="Y225">
            <v>51830.1</v>
          </cell>
          <cell r="AA225">
            <v>0.6</v>
          </cell>
          <cell r="AB225">
            <v>0.6</v>
          </cell>
          <cell r="AC225">
            <v>0.6</v>
          </cell>
          <cell r="AD225">
            <v>0.6</v>
          </cell>
          <cell r="AE225">
            <v>0.6</v>
          </cell>
          <cell r="AF225">
            <v>0.6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N225">
            <v>2591.5049999999997</v>
          </cell>
          <cell r="AO225">
            <v>2591.5049999999997</v>
          </cell>
          <cell r="AP225">
            <v>2591.5049999999997</v>
          </cell>
          <cell r="AQ225">
            <v>2591.5049999999997</v>
          </cell>
          <cell r="AR225">
            <v>2591.5049999999997</v>
          </cell>
          <cell r="AS225">
            <v>2591.5049999999997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</row>
        <row r="226">
          <cell r="R226"/>
        </row>
        <row r="231">
          <cell r="AK231">
            <v>4.2</v>
          </cell>
        </row>
      </sheetData>
      <sheetData sheetId="6"/>
      <sheetData sheetId="7"/>
      <sheetData sheetId="8">
        <row r="10">
          <cell r="B10" t="str">
            <v>Project Num Final</v>
          </cell>
        </row>
      </sheetData>
      <sheetData sheetId="9"/>
      <sheetData sheetId="10"/>
      <sheetData sheetId="11">
        <row r="86">
          <cell r="A86">
            <v>0</v>
          </cell>
        </row>
      </sheetData>
      <sheetData sheetId="12"/>
      <sheetData sheetId="13"/>
      <sheetData sheetId="14">
        <row r="3">
          <cell r="BC3">
            <v>3.55</v>
          </cell>
        </row>
      </sheetData>
      <sheetData sheetId="15"/>
      <sheetData sheetId="16"/>
      <sheetData sheetId="17">
        <row r="57">
          <cell r="V57">
            <v>258800</v>
          </cell>
        </row>
      </sheetData>
      <sheetData sheetId="18"/>
      <sheetData sheetId="19">
        <row r="28">
          <cell r="T28">
            <v>1082132.206733248</v>
          </cell>
        </row>
      </sheetData>
      <sheetData sheetId="20">
        <row r="37">
          <cell r="T37">
            <v>1669716.6988143406</v>
          </cell>
        </row>
      </sheetData>
      <sheetData sheetId="21"/>
      <sheetData sheetId="22">
        <row r="15">
          <cell r="T15">
            <v>297514.74222791294</v>
          </cell>
        </row>
      </sheetData>
      <sheetData sheetId="23">
        <row r="30">
          <cell r="T30">
            <v>404644.50946863001</v>
          </cell>
        </row>
      </sheetData>
      <sheetData sheetId="24">
        <row r="14">
          <cell r="T14">
            <v>440307.39924711909</v>
          </cell>
        </row>
      </sheetData>
      <sheetData sheetId="25">
        <row r="11">
          <cell r="T11">
            <v>239999.99877080668</v>
          </cell>
        </row>
      </sheetData>
      <sheetData sheetId="26">
        <row r="13">
          <cell r="T13">
            <v>139046.91926799537</v>
          </cell>
        </row>
      </sheetData>
      <sheetData sheetId="27">
        <row r="12">
          <cell r="T12">
            <v>32900</v>
          </cell>
        </row>
      </sheetData>
      <sheetData sheetId="28">
        <row r="23">
          <cell r="T23">
            <v>-180832.55390627397</v>
          </cell>
        </row>
      </sheetData>
      <sheetData sheetId="29"/>
      <sheetData sheetId="30">
        <row r="10">
          <cell r="T10">
            <v>22696.344229620143</v>
          </cell>
        </row>
      </sheetData>
      <sheetData sheetId="31"/>
      <sheetData sheetId="32"/>
      <sheetData sheetId="33"/>
      <sheetData sheetId="3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Consol"/>
      <sheetName val="Sheet1"/>
      <sheetName val="department Pivot"/>
      <sheetName val="projects Pivot "/>
      <sheetName val="exp type pivot"/>
      <sheetName val="Parameters"/>
      <sheetName val="DepartmentChange"/>
      <sheetName val="Calendar"/>
    </sheetNames>
    <sheetDataSet>
      <sheetData sheetId="0"/>
      <sheetData sheetId="1"/>
      <sheetData sheetId="2"/>
      <sheetData sheetId="3"/>
      <sheetData sheetId="4"/>
      <sheetData sheetId="5">
        <row r="2">
          <cell r="F2" t="str">
            <v>Department</v>
          </cell>
          <cell r="G2" t="str">
            <v>DepCostUSD</v>
          </cell>
        </row>
        <row r="3">
          <cell r="F3" t="str">
            <v>Ag-Bio Development</v>
          </cell>
          <cell r="G3">
            <v>91600</v>
          </cell>
          <cell r="I3" t="str">
            <v>Ag-Biological</v>
          </cell>
          <cell r="N3" t="str">
            <v>FTE</v>
          </cell>
        </row>
        <row r="4">
          <cell r="C4" t="str">
            <v>Herbicides Internal</v>
          </cell>
          <cell r="F4" t="str">
            <v>Ag-Bio Exec. MGMT</v>
          </cell>
          <cell r="G4">
            <v>239957</v>
          </cell>
          <cell r="I4" t="str">
            <v>Ag-Chemistry</v>
          </cell>
        </row>
        <row r="5">
          <cell r="C5" t="str">
            <v>Insecticides Internal</v>
          </cell>
          <cell r="F5" t="str">
            <v>Ag-Bio Research</v>
          </cell>
          <cell r="G5">
            <v>88200</v>
          </cell>
          <cell r="I5" t="str">
            <v>Ag-Seed</v>
          </cell>
          <cell r="N5" t="str">
            <v>Conference</v>
          </cell>
        </row>
        <row r="6">
          <cell r="C6" t="str">
            <v>Development - Chem</v>
          </cell>
          <cell r="F6" t="str">
            <v>Ag-Bio Systems</v>
          </cell>
          <cell r="G6">
            <v>94000</v>
          </cell>
          <cell r="I6" t="str">
            <v>Biomica</v>
          </cell>
          <cell r="N6" t="str">
            <v>Disposale plasticware</v>
          </cell>
        </row>
        <row r="7">
          <cell r="C7" t="str">
            <v>EvoYon</v>
          </cell>
          <cell r="F7" t="str">
            <v>Ag-Chem Exec. MGMT</v>
          </cell>
          <cell r="G7">
            <v>230050</v>
          </cell>
          <cell r="N7" t="str">
            <v>Genomic Data</v>
          </cell>
        </row>
        <row r="8">
          <cell r="F8" t="str">
            <v>Ag-Chemistry</v>
          </cell>
          <cell r="G8">
            <v>94000</v>
          </cell>
          <cell r="N8" t="str">
            <v>Hourly employees</v>
          </cell>
        </row>
        <row r="9">
          <cell r="C9" t="str">
            <v>Biomica</v>
          </cell>
          <cell r="F9" t="str">
            <v>Ag-Seed</v>
          </cell>
          <cell r="G9">
            <v>95300</v>
          </cell>
          <cell r="N9" t="str">
            <v>Lab Enzymes and antibodies</v>
          </cell>
        </row>
        <row r="10">
          <cell r="F10" t="str">
            <v>Ag-Seed Exec. MGMT</v>
          </cell>
          <cell r="G10">
            <v>131870</v>
          </cell>
          <cell r="N10" t="str">
            <v>Legal</v>
          </cell>
        </row>
        <row r="11">
          <cell r="C11" t="str">
            <v xml:space="preserve">Insect Control </v>
          </cell>
          <cell r="F11" t="str">
            <v>Algorithm</v>
          </cell>
          <cell r="G11">
            <v>118700</v>
          </cell>
          <cell r="N11" t="str">
            <v>Licensing &amp; Shelf product</v>
          </cell>
        </row>
        <row r="12">
          <cell r="C12" t="str">
            <v>MBI</v>
          </cell>
          <cell r="F12" t="str">
            <v>Bioinformatics</v>
          </cell>
          <cell r="G12">
            <v>88800</v>
          </cell>
          <cell r="N12" t="str">
            <v>Materials</v>
          </cell>
        </row>
        <row r="13">
          <cell r="C13" t="str">
            <v>Sygenta Nematode</v>
          </cell>
          <cell r="F13" t="str">
            <v>Biomica</v>
          </cell>
          <cell r="G13">
            <v>100000</v>
          </cell>
          <cell r="N13" t="str">
            <v>Shipments</v>
          </cell>
        </row>
        <row r="14">
          <cell r="C14" t="str">
            <v>Pioneer ASR</v>
          </cell>
          <cell r="F14" t="str">
            <v>Chemistry Lab</v>
          </cell>
          <cell r="G14">
            <v>51300</v>
          </cell>
          <cell r="N14" t="str">
            <v>Subcontracts &amp; Experts</v>
          </cell>
        </row>
        <row r="15">
          <cell r="C15" t="str">
            <v>Rahan</v>
          </cell>
          <cell r="F15" t="str">
            <v>Core Technologies</v>
          </cell>
          <cell r="G15">
            <v>106000</v>
          </cell>
          <cell r="N15" t="str">
            <v>Synthetic genes</v>
          </cell>
        </row>
        <row r="16">
          <cell r="C16" t="str">
            <v>Monsanto YS</v>
          </cell>
          <cell r="F16" t="str">
            <v>CQA</v>
          </cell>
          <cell r="G16">
            <v>45500</v>
          </cell>
          <cell r="N16" t="str">
            <v>TC reagents and chemicals</v>
          </cell>
        </row>
        <row r="17">
          <cell r="C17" t="str">
            <v>Monsanto Fus</v>
          </cell>
          <cell r="F17" t="str">
            <v>Data analysis</v>
          </cell>
          <cell r="G17">
            <v>59300</v>
          </cell>
          <cell r="N17" t="str">
            <v>Transcriptome</v>
          </cell>
        </row>
        <row r="18">
          <cell r="C18" t="str">
            <v>Magneton</v>
          </cell>
          <cell r="F18" t="str">
            <v>Data generation</v>
          </cell>
          <cell r="G18">
            <v>46700</v>
          </cell>
          <cell r="N18" t="str">
            <v>Travel</v>
          </cell>
        </row>
        <row r="19">
          <cell r="C19" t="str">
            <v>IMA/ Biogemma/ Pioneer ABST</v>
          </cell>
          <cell r="F19" t="str">
            <v>Development</v>
          </cell>
          <cell r="G19">
            <v>96100</v>
          </cell>
          <cell r="N19" t="str">
            <v>Validations</v>
          </cell>
        </row>
        <row r="20">
          <cell r="C20" t="str">
            <v>Horizon</v>
          </cell>
          <cell r="F20" t="str">
            <v>IMS</v>
          </cell>
          <cell r="G20">
            <v>91300</v>
          </cell>
          <cell r="N20" t="str">
            <v>Other</v>
          </cell>
        </row>
        <row r="21">
          <cell r="C21" t="str">
            <v>Jackson</v>
          </cell>
          <cell r="F21" t="str">
            <v>IP</v>
          </cell>
          <cell r="G21">
            <v>74841</v>
          </cell>
        </row>
        <row r="22">
          <cell r="C22" t="str">
            <v>GED</v>
          </cell>
          <cell r="F22" t="str">
            <v>Microbiology Lab</v>
          </cell>
          <cell r="G22">
            <v>60000</v>
          </cell>
        </row>
        <row r="23">
          <cell r="C23" t="str">
            <v>ICL</v>
          </cell>
          <cell r="F23" t="str">
            <v>Molecular Lab</v>
          </cell>
          <cell r="G23">
            <v>59700</v>
          </cell>
        </row>
        <row r="24">
          <cell r="C24" t="str">
            <v>KeyGene</v>
          </cell>
          <cell r="F24" t="str">
            <v>Phytopathology Lab</v>
          </cell>
          <cell r="G24">
            <v>52200</v>
          </cell>
        </row>
        <row r="25">
          <cell r="F25" t="str">
            <v>Plant Growth</v>
          </cell>
          <cell r="G25">
            <v>49600</v>
          </cell>
        </row>
        <row r="26">
          <cell r="F26" t="str">
            <v>PLM</v>
          </cell>
          <cell r="G26">
            <v>45900</v>
          </cell>
        </row>
        <row r="27">
          <cell r="C27" t="str">
            <v>Biostimulants Internal</v>
          </cell>
          <cell r="F27" t="str">
            <v>PM-Biolog</v>
          </cell>
          <cell r="G27">
            <v>90226</v>
          </cell>
        </row>
        <row r="28">
          <cell r="C28" t="str">
            <v>Pioner - Biostimulantas</v>
          </cell>
          <cell r="F28" t="str">
            <v>PM-Chem</v>
          </cell>
          <cell r="G28">
            <v>113000</v>
          </cell>
        </row>
        <row r="29">
          <cell r="C29" t="str">
            <v>Biopesticides Internal</v>
          </cell>
          <cell r="F29" t="str">
            <v>PM-Seed</v>
          </cell>
          <cell r="G29">
            <v>71430</v>
          </cell>
        </row>
        <row r="30">
          <cell r="F30" t="str">
            <v>Tissue Culture</v>
          </cell>
          <cell r="G30">
            <v>57500</v>
          </cell>
        </row>
        <row r="31">
          <cell r="C31" t="str">
            <v>Phenomica</v>
          </cell>
          <cell r="F31" t="str">
            <v>USA site</v>
          </cell>
          <cell r="G31">
            <v>68900</v>
          </cell>
        </row>
      </sheetData>
      <sheetData sheetId="6"/>
      <sheetData sheetId="7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KeyFinInputs"/>
      <sheetName val="Arden Group, Inc"/>
      <sheetName val="Dominicks Supermarket, Inc."/>
      <sheetName val="Eagle Food Centers, Inc."/>
      <sheetName val="Food Lion, Inc. Class A"/>
      <sheetName val="Homeland Holding Corp."/>
      <sheetName val="Winn-Dixie Stores, Inc."/>
      <sheetName val="Summary"/>
      <sheetName val="J.H. Harvey Company"/>
      <sheetName val="Mult-LTM"/>
      <sheetName val="Mult-3yr"/>
      <sheetName val="Mult-LTM (adj)"/>
      <sheetName val="Stock Price Dlg"/>
      <sheetName val="Mult-3yr (adj)"/>
      <sheetName val="General Dialog"/>
      <sheetName val="Comps Dialog"/>
      <sheetName val="intro dialog"/>
      <sheetName val="Proj_EPS Dlg"/>
      <sheetName val="size dlg"/>
      <sheetName val="KeyMultInputs"/>
      <sheetName val="Mar&amp;GrowthAnaly"/>
      <sheetName val="Size_Growth_Adj"/>
      <sheetName val="Proj. EBITDA"/>
      <sheetName val="Key_Inputs Dlg"/>
      <sheetName val="Ratio Analy"/>
      <sheetName val="Common_BS"/>
      <sheetName val="FSEdit Dialog"/>
      <sheetName val="Mult Dialog"/>
      <sheetName val="Common_IS"/>
      <sheetName val="Exb&amp;WP Dialog"/>
      <sheetName val="Comp_Mult"/>
      <sheetName val="Comp_Desc"/>
      <sheetName val="Std Fin Template"/>
      <sheetName val="key_inputs"/>
      <sheetName val="NOLs IId"/>
    </sheetNames>
    <sheetDataSet>
      <sheetData sheetId="0">
        <row r="70">
          <cell r="A70" t="str">
            <v>Key Multiple Inputs</v>
          </cell>
          <cell r="B70" t="str">
            <v>III</v>
          </cell>
        </row>
        <row r="71">
          <cell r="A71" t="str">
            <v>Margin &amp; Growth Analysis</v>
          </cell>
          <cell r="B71" t="str">
            <v>III</v>
          </cell>
        </row>
        <row r="72">
          <cell r="A72" t="str">
            <v>Summary</v>
          </cell>
          <cell r="B72" t="str">
            <v>III</v>
          </cell>
        </row>
        <row r="73">
          <cell r="A73" t="str">
            <v>Multiples: LTM (adj.)</v>
          </cell>
        </row>
        <row r="74">
          <cell r="A74" t="str">
            <v>Multiples: 3 Yr. Avg. (adj.)</v>
          </cell>
          <cell r="B74" t="str">
            <v>III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MSC_Exhibits I-III"/>
      <sheetName val="Proj. Financials"/>
      <sheetName val="KeyMultInputs"/>
      <sheetName val="key_inputs"/>
      <sheetName val="Inputs"/>
      <sheetName val="Income"/>
      <sheetName val="EPS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Exb I.1_PP Recon"/>
      <sheetName val="Exb I.2_PPA Taira"/>
      <sheetName val="Exb I.3_PPA Mina"/>
      <sheetName val="Exb I.4_PPA ABC"/>
      <sheetName val="Exb II.1_Summary Taira"/>
      <sheetName val="Exb II.2_MCM Taira"/>
      <sheetName val="Exb II.3_MCM Inputs Taira"/>
      <sheetName val="Exb II.4_Comp Analy Taira"/>
      <sheetName val="Exb II.5_Size Adj Taira"/>
      <sheetName val="Exb II.6_MTM Taira"/>
      <sheetName val="Exb II.7_Adj Earn Taira"/>
      <sheetName val="Exb III.1_Summary Mina"/>
      <sheetName val="Exb III.2_Mult Inputs Mina"/>
      <sheetName val="Exb III.3_Comp Analy Mina"/>
      <sheetName val="Exb III.4_Adj Earn Mina"/>
      <sheetName val="Taira Corp"/>
      <sheetName val="Minamoto Inc"/>
      <sheetName val="Act Manufacturing"/>
      <sheetName val="Benchmark"/>
      <sheetName val="DDIC"/>
      <sheetName val="IEC"/>
      <sheetName val="Pemstar"/>
      <sheetName val="Plexus"/>
      <sheetName val="Sigmatron"/>
      <sheetName val="Smtek"/>
      <sheetName val="Sparton"/>
      <sheetName val="Viasystems"/>
      <sheetName val="Park Electrochemical"/>
      <sheetName val="Rogers"/>
      <sheetName val="Sheldahl"/>
      <sheetName val="REV9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CF"/>
      <sheetName val="Cap Earn"/>
      <sheetName val="Tax"/>
      <sheetName val="WACC"/>
      <sheetName val="Receipt Analysis"/>
      <sheetName val="Working Capital"/>
      <sheetName val="Historical"/>
      <sheetName val="Industry"/>
      <sheetName val="Market"/>
      <sheetName val="0102 Firm Forecast"/>
      <sheetName val="Settings"/>
      <sheetName val="value3"/>
      <sheetName val="Plan"/>
      <sheetName val="TOTAL WE PBC"/>
      <sheetName val="SS PRIMA UNI"/>
      <sheetName val="Cap_Earn1"/>
      <sheetName val="Receipt_Analysis1"/>
      <sheetName val="Working_Capital1"/>
      <sheetName val="0102_Firm_Forecast1"/>
      <sheetName val="Cap_Earn"/>
      <sheetName val="Receipt_Analysis"/>
      <sheetName val="Working_Capital"/>
      <sheetName val="0102_Firm_Forecast"/>
      <sheetName val="Inputs"/>
      <sheetName val="Content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ivot 1"/>
      <sheetName val="Task units pivot"/>
      <sheetName val="SOW"/>
      <sheetName val="Parameters"/>
      <sheetName val="Agseeds"/>
    </sheetNames>
    <sheetDataSet>
      <sheetData sheetId="0" refreshError="1"/>
      <sheetData sheetId="1" refreshError="1"/>
      <sheetData sheetId="2"/>
      <sheetData sheetId="3">
        <row r="1">
          <cell r="B1" t="str">
            <v>DepartmentNo.</v>
          </cell>
          <cell r="C1" t="str">
            <v>Department Name</v>
          </cell>
          <cell r="P1" t="str">
            <v>ProjectName</v>
          </cell>
          <cell r="Q1" t="str">
            <v>ProjectFull</v>
          </cell>
          <cell r="R1" t="str">
            <v>Default Division</v>
          </cell>
          <cell r="S1" t="str">
            <v>ProjectNum</v>
          </cell>
          <cell r="U1" t="str">
            <v>Prefix</v>
          </cell>
          <cell r="V1" t="str">
            <v>Division</v>
          </cell>
          <cell r="BN1" t="str">
            <v>Ending</v>
          </cell>
          <cell r="BO1" t="str">
            <v>Task Description</v>
          </cell>
          <cell r="BP1" t="str">
            <v>Credit Budget</v>
          </cell>
          <cell r="BQ1" t="str">
            <v>Unit Description</v>
          </cell>
          <cell r="BR1" t="str">
            <v>Cost Department</v>
          </cell>
          <cell r="BS1" t="str">
            <v>Defalut Credit Prefix</v>
          </cell>
          <cell r="BT1" t="str">
            <v>Ending Type</v>
          </cell>
          <cell r="BU1" t="str">
            <v>Ending Group</v>
          </cell>
          <cell r="BV1" t="str">
            <v>Recognition Type</v>
          </cell>
          <cell r="BW1" t="str">
            <v>Cost Per unit</v>
          </cell>
          <cell r="CG1" t="str">
            <v>FinReport</v>
          </cell>
          <cell r="CH1" t="str">
            <v>Code</v>
          </cell>
        </row>
        <row r="2">
          <cell r="B2">
            <v>304</v>
          </cell>
          <cell r="C2" t="str">
            <v>Ag-Seed</v>
          </cell>
          <cell r="P2" t="str">
            <v>agPlenus Tech</v>
          </cell>
          <cell r="Q2" t="str">
            <v>P21 - agPlenus Tech</v>
          </cell>
          <cell r="R2" t="str">
            <v>AgPlenus</v>
          </cell>
          <cell r="S2" t="str">
            <v>P21</v>
          </cell>
          <cell r="U2" t="str">
            <v>B10</v>
          </cell>
          <cell r="V2" t="str">
            <v>AgPlenus</v>
          </cell>
          <cell r="AH2">
            <v>3.4</v>
          </cell>
          <cell r="AI2">
            <v>3.4</v>
          </cell>
          <cell r="AJ2">
            <v>3.4</v>
          </cell>
          <cell r="AK2">
            <v>3.4</v>
          </cell>
          <cell r="AL2">
            <v>3.4</v>
          </cell>
          <cell r="AM2">
            <v>3.4</v>
          </cell>
          <cell r="AN2">
            <v>3.4</v>
          </cell>
          <cell r="AO2">
            <v>3.4</v>
          </cell>
          <cell r="AP2">
            <v>3.4</v>
          </cell>
          <cell r="AQ2">
            <v>3.4</v>
          </cell>
          <cell r="AR2">
            <v>3.4</v>
          </cell>
          <cell r="AS2">
            <v>3.4</v>
          </cell>
          <cell r="BN2" t="str">
            <v>E000 - Salary</v>
          </cell>
          <cell r="BT2" t="str">
            <v>Salary</v>
          </cell>
          <cell r="BU2" t="str">
            <v>Salary</v>
          </cell>
          <cell r="BW2">
            <v>0</v>
          </cell>
          <cell r="CG2" t="str">
            <v>Revenues</v>
          </cell>
          <cell r="CH2" t="str">
            <v>00</v>
          </cell>
        </row>
        <row r="3">
          <cell r="B3">
            <v>302</v>
          </cell>
          <cell r="C3" t="str">
            <v>Ag-Seed BD</v>
          </cell>
          <cell r="P3" t="str">
            <v>Herbicides Corteva</v>
          </cell>
          <cell r="Q3" t="str">
            <v>P210 - Herbicides Corteva</v>
          </cell>
          <cell r="R3" t="str">
            <v>AgPlenus</v>
          </cell>
          <cell r="S3" t="str">
            <v>P210</v>
          </cell>
          <cell r="U3" t="str">
            <v>B20</v>
          </cell>
          <cell r="V3" t="str">
            <v>Lavie Bio</v>
          </cell>
          <cell r="BN3" t="str">
            <v xml:space="preserve">E301 - Capped Patent </v>
          </cell>
          <cell r="BT3" t="str">
            <v>External</v>
          </cell>
          <cell r="BU3" t="str">
            <v>External</v>
          </cell>
          <cell r="BW3">
            <v>0</v>
          </cell>
          <cell r="CG3" t="str">
            <v>COGS</v>
          </cell>
          <cell r="CH3" t="str">
            <v>10</v>
          </cell>
        </row>
        <row r="4">
          <cell r="B4">
            <v>301</v>
          </cell>
          <cell r="C4" t="str">
            <v>Ag-Seed Exec. MGMT</v>
          </cell>
          <cell r="P4" t="str">
            <v>Herbicides APTH1</v>
          </cell>
          <cell r="Q4" t="str">
            <v>P211 - Herbicides APTH1</v>
          </cell>
          <cell r="R4" t="str">
            <v>AgPlenus</v>
          </cell>
          <cell r="S4" t="str">
            <v>P211</v>
          </cell>
          <cell r="U4" t="str">
            <v>B30</v>
          </cell>
          <cell r="V4" t="str">
            <v>Ag-Seed</v>
          </cell>
          <cell r="BN4" t="str">
            <v>E302 - Non Capped Patent</v>
          </cell>
          <cell r="BT4" t="str">
            <v>External</v>
          </cell>
          <cell r="BU4" t="str">
            <v>External</v>
          </cell>
          <cell r="BW4">
            <v>0</v>
          </cell>
          <cell r="CG4" t="str">
            <v>RD</v>
          </cell>
          <cell r="CH4" t="str">
            <v>20</v>
          </cell>
        </row>
        <row r="5">
          <cell r="B5">
            <v>303</v>
          </cell>
          <cell r="C5" t="str">
            <v>Ag-Seed PM</v>
          </cell>
          <cell r="P5" t="str">
            <v>Herbicides</v>
          </cell>
          <cell r="Q5" t="str">
            <v>P23 - Herbicides</v>
          </cell>
          <cell r="R5" t="str">
            <v>AgPlenus</v>
          </cell>
          <cell r="S5" t="str">
            <v>P23</v>
          </cell>
          <cell r="U5" t="str">
            <v>B31</v>
          </cell>
          <cell r="V5" t="str">
            <v>Insect-Control</v>
          </cell>
          <cell r="BN5" t="str">
            <v>E999 - External</v>
          </cell>
          <cell r="BT5" t="str">
            <v>External</v>
          </cell>
          <cell r="BU5" t="str">
            <v>External</v>
          </cell>
          <cell r="BW5">
            <v>0</v>
          </cell>
          <cell r="CG5" t="str">
            <v>SM</v>
          </cell>
          <cell r="CH5">
            <v>30</v>
          </cell>
        </row>
        <row r="6">
          <cell r="B6">
            <v>202</v>
          </cell>
          <cell r="C6" t="str">
            <v>AgPlenus BD</v>
          </cell>
          <cell r="P6" t="str">
            <v>Fungicides</v>
          </cell>
          <cell r="Q6" t="str">
            <v>P24 - Fungicides</v>
          </cell>
          <cell r="R6" t="str">
            <v>AgPlenus</v>
          </cell>
          <cell r="S6" t="str">
            <v>P24</v>
          </cell>
          <cell r="U6" t="str">
            <v>B32</v>
          </cell>
          <cell r="V6" t="str">
            <v>IP-Legacy</v>
          </cell>
          <cell r="BN6" t="str">
            <v>T101 - Agronomist</v>
          </cell>
          <cell r="BO6" t="str">
            <v>Agronomist FTE annual cost</v>
          </cell>
          <cell r="BP6" t="str">
            <v>B40/22.P997.418.XXX-T101</v>
          </cell>
          <cell r="BQ6" t="str">
            <v>Per annual FTE</v>
          </cell>
          <cell r="BR6" t="str">
            <v>418</v>
          </cell>
          <cell r="BS6" t="str">
            <v>B40</v>
          </cell>
          <cell r="BT6" t="str">
            <v>CPB</v>
          </cell>
          <cell r="BU6" t="str">
            <v>Evogene service</v>
          </cell>
          <cell r="BV6" t="str">
            <v>Period</v>
          </cell>
          <cell r="BW6">
            <v>557.94235981872509</v>
          </cell>
          <cell r="CG6" t="str">
            <v>BD</v>
          </cell>
          <cell r="CH6" t="str">
            <v>50</v>
          </cell>
        </row>
        <row r="7">
          <cell r="B7">
            <v>201</v>
          </cell>
          <cell r="C7" t="str">
            <v>AgPlenus Exec. MGMT</v>
          </cell>
          <cell r="P7" t="str">
            <v>TcdAB</v>
          </cell>
          <cell r="Q7" t="str">
            <v>P250 - TcdAB</v>
          </cell>
          <cell r="R7" t="str">
            <v>Biomica</v>
          </cell>
          <cell r="S7" t="str">
            <v>P250</v>
          </cell>
          <cell r="U7" t="str">
            <v>B40</v>
          </cell>
          <cell r="V7" t="str">
            <v>CPB</v>
          </cell>
          <cell r="BN7" t="str">
            <v>T102 - Algorithm Developer</v>
          </cell>
          <cell r="BO7" t="str">
            <v>Algorithm Developer FTE annual cost</v>
          </cell>
          <cell r="BP7" t="str">
            <v>B40/22.P997.404.XXX-T102</v>
          </cell>
          <cell r="BQ7" t="str">
            <v>Per annual FTE</v>
          </cell>
          <cell r="BR7" t="str">
            <v>404</v>
          </cell>
          <cell r="BS7" t="str">
            <v>B40</v>
          </cell>
          <cell r="BT7" t="str">
            <v>CPB</v>
          </cell>
          <cell r="BU7" t="str">
            <v>Evogene service</v>
          </cell>
          <cell r="BV7" t="str">
            <v>Period</v>
          </cell>
          <cell r="BW7">
            <v>911.48299878618604</v>
          </cell>
          <cell r="CG7" t="str">
            <v>GA</v>
          </cell>
          <cell r="CH7" t="str">
            <v>60</v>
          </cell>
        </row>
        <row r="8">
          <cell r="B8">
            <v>203</v>
          </cell>
          <cell r="C8" t="str">
            <v>AgPlenus PM</v>
          </cell>
          <cell r="P8" t="str">
            <v>MRSA 50S</v>
          </cell>
          <cell r="Q8" t="str">
            <v>P251 - MRSA 50S</v>
          </cell>
          <cell r="R8" t="str">
            <v>Biomica</v>
          </cell>
          <cell r="S8" t="str">
            <v>P251</v>
          </cell>
          <cell r="U8" t="str">
            <v>B41</v>
          </cell>
          <cell r="V8" t="str">
            <v>Phenomics</v>
          </cell>
          <cell r="BN8" t="str">
            <v>T103 - Bioinformatician</v>
          </cell>
          <cell r="BO8" t="str">
            <v>Bioinformatician FTE annual cost</v>
          </cell>
          <cell r="BP8" t="str">
            <v>B40/22.P997.405.XXX-T103</v>
          </cell>
          <cell r="BQ8" t="str">
            <v>Per annual FTE</v>
          </cell>
          <cell r="BR8" t="str">
            <v>405</v>
          </cell>
          <cell r="BS8" t="str">
            <v>B40</v>
          </cell>
          <cell r="BT8" t="str">
            <v>CPB</v>
          </cell>
          <cell r="BU8" t="str">
            <v>Evogene service</v>
          </cell>
          <cell r="BV8" t="str">
            <v>Period</v>
          </cell>
          <cell r="BW8">
            <v>751.43280007739986</v>
          </cell>
          <cell r="CG8" t="str">
            <v>Financial Inc/Exp</v>
          </cell>
          <cell r="CH8" t="str">
            <v>70</v>
          </cell>
        </row>
        <row r="9">
          <cell r="B9">
            <v>205</v>
          </cell>
          <cell r="C9" t="str">
            <v>AgPlenus RD</v>
          </cell>
          <cell r="P9" t="str">
            <v>Cancer Immun adjuvant</v>
          </cell>
          <cell r="Q9" t="str">
            <v>P252 - Cancer Immun adjuvant</v>
          </cell>
          <cell r="R9" t="str">
            <v>Biomica</v>
          </cell>
          <cell r="S9" t="str">
            <v>P252</v>
          </cell>
          <cell r="U9" t="str">
            <v>B42</v>
          </cell>
          <cell r="V9" t="str">
            <v>CrisperIL</v>
          </cell>
          <cell r="BN9" t="str">
            <v>T104 - Data Gathering</v>
          </cell>
          <cell r="BO9" t="str">
            <v>Data Gathering FTE annual cost</v>
          </cell>
          <cell r="BP9" t="str">
            <v>B40/22.P997.411.XXX-T104</v>
          </cell>
          <cell r="BQ9" t="str">
            <v>Per annual FTE</v>
          </cell>
          <cell r="BR9" t="str">
            <v>411</v>
          </cell>
          <cell r="BS9" t="str">
            <v>B40</v>
          </cell>
          <cell r="BT9" t="str">
            <v>CPB</v>
          </cell>
          <cell r="BU9" t="str">
            <v>Evogene service</v>
          </cell>
          <cell r="BV9" t="str">
            <v>Period</v>
          </cell>
          <cell r="BW9">
            <v>457.96136458456613</v>
          </cell>
          <cell r="CG9" t="str">
            <v>Grants refundable</v>
          </cell>
          <cell r="CH9" t="str">
            <v>90</v>
          </cell>
        </row>
        <row r="10">
          <cell r="B10">
            <v>404</v>
          </cell>
          <cell r="C10" t="str">
            <v>Algorithm</v>
          </cell>
          <cell r="P10" t="str">
            <v>IBS</v>
          </cell>
          <cell r="Q10" t="str">
            <v>P254 - IBS</v>
          </cell>
          <cell r="R10" t="str">
            <v>Biomica</v>
          </cell>
          <cell r="S10" t="str">
            <v>P254</v>
          </cell>
          <cell r="U10" t="str">
            <v>B50</v>
          </cell>
          <cell r="V10" t="str">
            <v>CPBL</v>
          </cell>
          <cell r="BN10" t="str">
            <v>T105 - DevOps</v>
          </cell>
          <cell r="BO10" t="str">
            <v>DevOps FTE annual cost</v>
          </cell>
          <cell r="BP10" t="str">
            <v>B40/22.P997.420.XXX-T105</v>
          </cell>
          <cell r="BQ10" t="str">
            <v>Per annual FTE</v>
          </cell>
          <cell r="BR10" t="str">
            <v>420</v>
          </cell>
          <cell r="BS10" t="str">
            <v>B40</v>
          </cell>
          <cell r="BT10" t="str">
            <v>CPB</v>
          </cell>
          <cell r="BU10" t="str">
            <v>Evogene service</v>
          </cell>
          <cell r="BV10" t="str">
            <v>Period</v>
          </cell>
          <cell r="BW10">
            <v>956.47444662303462</v>
          </cell>
          <cell r="CG10" t="str">
            <v>CAPEX</v>
          </cell>
          <cell r="CH10" t="str">
            <v>95</v>
          </cell>
        </row>
        <row r="11">
          <cell r="B11">
            <v>405</v>
          </cell>
          <cell r="C11" t="str">
            <v>Bioinformatics</v>
          </cell>
          <cell r="P11" t="str">
            <v>IBD</v>
          </cell>
          <cell r="Q11" t="str">
            <v>P255 - IBD</v>
          </cell>
          <cell r="R11" t="str">
            <v>Biomica</v>
          </cell>
          <cell r="S11" t="str">
            <v>P255</v>
          </cell>
          <cell r="U11" t="str">
            <v>B55</v>
          </cell>
          <cell r="V11" t="str">
            <v>CSO</v>
          </cell>
          <cell r="BN11" t="str">
            <v>T106 - Molecular Biologist</v>
          </cell>
          <cell r="BO11" t="str">
            <v>Molecular Biologist FTE annual cost</v>
          </cell>
          <cell r="BP11" t="str">
            <v>B40/22.P997.413.XXX-T106</v>
          </cell>
          <cell r="BQ11" t="str">
            <v>Per annual FTE</v>
          </cell>
          <cell r="BR11" t="str">
            <v>413</v>
          </cell>
          <cell r="BS11" t="str">
            <v>B40</v>
          </cell>
          <cell r="BT11" t="str">
            <v>CPB</v>
          </cell>
          <cell r="BU11" t="str">
            <v>Evogene service</v>
          </cell>
          <cell r="BV11" t="str">
            <v>Period</v>
          </cell>
          <cell r="BW11">
            <v>528.80167142028904</v>
          </cell>
          <cell r="CG11" t="str">
            <v>Cash Adjusments</v>
          </cell>
          <cell r="CH11" t="str">
            <v>96</v>
          </cell>
        </row>
        <row r="12">
          <cell r="B12">
            <v>995</v>
          </cell>
          <cell r="C12" t="str">
            <v>Biomica BD</v>
          </cell>
          <cell r="P12" t="str">
            <v>Infrastructure</v>
          </cell>
          <cell r="Q12" t="str">
            <v>P257 - Infrastructure</v>
          </cell>
          <cell r="R12" t="str">
            <v>Biomica</v>
          </cell>
          <cell r="S12" t="str">
            <v>P257</v>
          </cell>
          <cell r="U12" t="str">
            <v>B70</v>
          </cell>
          <cell r="V12" t="str">
            <v>Biomica</v>
          </cell>
          <cell r="BN12" t="str">
            <v>T107 - Phytopatologist</v>
          </cell>
          <cell r="BO12" t="str">
            <v>Phytopatologist FTE annual cost</v>
          </cell>
          <cell r="BP12" t="str">
            <v>B40/22.P997.415.XXX-T107</v>
          </cell>
          <cell r="BQ12" t="str">
            <v>Per annual FTE</v>
          </cell>
          <cell r="BR12" t="str">
            <v>415</v>
          </cell>
          <cell r="BS12" t="str">
            <v>B40</v>
          </cell>
          <cell r="BT12" t="str">
            <v>CPB</v>
          </cell>
          <cell r="BU12" t="str">
            <v>Evogene service</v>
          </cell>
          <cell r="BV12" t="str">
            <v>Period</v>
          </cell>
          <cell r="BW12">
            <v>443.6087142946501</v>
          </cell>
        </row>
        <row r="13">
          <cell r="B13">
            <v>207</v>
          </cell>
          <cell r="C13" t="str">
            <v>Biomica CSO</v>
          </cell>
          <cell r="P13" t="str">
            <v>Breeding general</v>
          </cell>
          <cell r="Q13" t="str">
            <v>P197 - Breeding general</v>
          </cell>
          <cell r="R13" t="str">
            <v>Canonic</v>
          </cell>
          <cell r="S13" t="str">
            <v>P197</v>
          </cell>
          <cell r="U13" t="str">
            <v>B72</v>
          </cell>
          <cell r="V13" t="str">
            <v>Casterra</v>
          </cell>
          <cell r="BN13" t="str">
            <v>T108 - PLM</v>
          </cell>
          <cell r="BO13" t="str">
            <v>PLM FTE annual cost</v>
          </cell>
          <cell r="BP13" t="str">
            <v>B40/22.P997.412.XXX-T108</v>
          </cell>
          <cell r="BQ13" t="str">
            <v>Per annual FTE</v>
          </cell>
          <cell r="BR13" t="str">
            <v>412</v>
          </cell>
          <cell r="BS13" t="str">
            <v>B40</v>
          </cell>
          <cell r="BT13" t="str">
            <v>CPB</v>
          </cell>
          <cell r="BU13" t="str">
            <v>Evogene service</v>
          </cell>
          <cell r="BV13" t="str">
            <v>Period</v>
          </cell>
          <cell r="BW13">
            <v>485.66698260563408</v>
          </cell>
          <cell r="CP13" t="str">
            <v xml:space="preserve"> </v>
          </cell>
        </row>
        <row r="14">
          <cell r="B14">
            <v>994</v>
          </cell>
          <cell r="C14" t="str">
            <v>Biomica Exec. MGMT</v>
          </cell>
          <cell r="P14" t="str">
            <v xml:space="preserve">Breeding -MG </v>
          </cell>
          <cell r="Q14" t="str">
            <v xml:space="preserve">P198 - Breeding -MG </v>
          </cell>
          <cell r="R14" t="str">
            <v>Canonic</v>
          </cell>
          <cell r="S14" t="str">
            <v>P198</v>
          </cell>
          <cell r="U14" t="str">
            <v>B74</v>
          </cell>
          <cell r="V14" t="str">
            <v>Canonic</v>
          </cell>
          <cell r="BN14" t="str">
            <v>T109 - Product Manager</v>
          </cell>
          <cell r="BO14" t="str">
            <v>Product Manager FTE annual cost</v>
          </cell>
          <cell r="BP14" t="str">
            <v>B55/22.P997.427.XXX-T109</v>
          </cell>
          <cell r="BQ14" t="str">
            <v>Per annual FTE</v>
          </cell>
          <cell r="BR14" t="str">
            <v>427</v>
          </cell>
          <cell r="BS14" t="str">
            <v>B55</v>
          </cell>
          <cell r="BT14" t="str">
            <v>CPB</v>
          </cell>
          <cell r="BU14" t="str">
            <v>Evogene service</v>
          </cell>
          <cell r="BV14" t="str">
            <v>Period</v>
          </cell>
          <cell r="BW14">
            <v>469.69760198263214</v>
          </cell>
          <cell r="CP14" t="str">
            <v xml:space="preserve"> </v>
          </cell>
        </row>
        <row r="15">
          <cell r="B15">
            <v>206</v>
          </cell>
          <cell r="C15" t="str">
            <v>Biomica Lab</v>
          </cell>
          <cell r="P15" t="str">
            <v>Core collection &amp; Database</v>
          </cell>
          <cell r="Q15" t="str">
            <v>P199 - Core collection &amp; Database</v>
          </cell>
          <cell r="R15" t="str">
            <v>Canonic</v>
          </cell>
          <cell r="S15" t="str">
            <v>P199</v>
          </cell>
          <cell r="U15" t="str">
            <v>B90</v>
          </cell>
          <cell r="V15" t="str">
            <v>Corporate</v>
          </cell>
          <cell r="BN15" t="str">
            <v>T110 - Project Manager</v>
          </cell>
          <cell r="BO15" t="str">
            <v>Project Manager FTE annual cost</v>
          </cell>
          <cell r="BP15" t="str">
            <v>B40/22.P997.426.XXX-T110</v>
          </cell>
          <cell r="BQ15" t="str">
            <v>Per annual FTE</v>
          </cell>
          <cell r="BR15" t="str">
            <v>426</v>
          </cell>
          <cell r="BS15" t="str">
            <v>B40</v>
          </cell>
          <cell r="BT15" t="str">
            <v>CPB</v>
          </cell>
          <cell r="BU15" t="str">
            <v>Evogene service</v>
          </cell>
          <cell r="BV15" t="str">
            <v>Period</v>
          </cell>
          <cell r="CP15" t="str">
            <v xml:space="preserve"> </v>
          </cell>
        </row>
        <row r="16">
          <cell r="B16">
            <v>999</v>
          </cell>
          <cell r="C16" t="str">
            <v>Biomica RD</v>
          </cell>
          <cell r="P16" t="str">
            <v>Product development</v>
          </cell>
          <cell r="Q16" t="str">
            <v>P205 - Product development</v>
          </cell>
          <cell r="R16" t="str">
            <v>Canonic</v>
          </cell>
          <cell r="S16" t="str">
            <v>P205</v>
          </cell>
          <cell r="BN16" t="str">
            <v>T111 - Seedbank</v>
          </cell>
          <cell r="BO16" t="str">
            <v>Seedbank FTE annual cost</v>
          </cell>
          <cell r="BP16" t="str">
            <v>B40/22.P997.418.XXX-T111</v>
          </cell>
          <cell r="BQ16" t="str">
            <v>Per annual FTE</v>
          </cell>
          <cell r="BR16" t="str">
            <v>418</v>
          </cell>
          <cell r="BS16" t="str">
            <v>B40</v>
          </cell>
          <cell r="BT16" t="str">
            <v>CPB</v>
          </cell>
          <cell r="BU16" t="str">
            <v>Evogene service</v>
          </cell>
          <cell r="BV16" t="str">
            <v>Period</v>
          </cell>
          <cell r="CP16" t="str">
            <v xml:space="preserve"> </v>
          </cell>
        </row>
        <row r="17">
          <cell r="B17">
            <v>422</v>
          </cell>
          <cell r="C17" t="str">
            <v>CPB Directors</v>
          </cell>
          <cell r="P17" t="str">
            <v>Computational Dev</v>
          </cell>
          <cell r="Q17" t="str">
            <v>P209 - Computational Dev</v>
          </cell>
          <cell r="R17" t="str">
            <v>Canonic</v>
          </cell>
          <cell r="S17" t="str">
            <v>P209</v>
          </cell>
          <cell r="BN17" t="str">
            <v>T112 - Software Developer</v>
          </cell>
          <cell r="BO17" t="str">
            <v>Software Developer FTE annual cost</v>
          </cell>
          <cell r="BP17" t="str">
            <v>B40/22.P997.406.XXX-T112</v>
          </cell>
          <cell r="BQ17" t="str">
            <v>Per annual FTE</v>
          </cell>
          <cell r="BR17" t="str">
            <v>406</v>
          </cell>
          <cell r="BS17" t="str">
            <v>B40</v>
          </cell>
          <cell r="BT17" t="str">
            <v>CPB</v>
          </cell>
          <cell r="BU17" t="str">
            <v>Evogene service</v>
          </cell>
          <cell r="BV17" t="str">
            <v>Period</v>
          </cell>
          <cell r="BW17">
            <v>905.95983041799695</v>
          </cell>
          <cell r="CP17" t="str">
            <v xml:space="preserve"> </v>
          </cell>
        </row>
        <row r="18">
          <cell r="B18">
            <v>401</v>
          </cell>
          <cell r="C18" t="str">
            <v>CPB Exec. MGMT</v>
          </cell>
          <cell r="P18" t="str">
            <v>Rebranding</v>
          </cell>
          <cell r="Q18" t="str">
            <v>P268 - Rebranding</v>
          </cell>
          <cell r="R18" t="str">
            <v>Corporate</v>
          </cell>
          <cell r="S18" t="str">
            <v>P268</v>
          </cell>
          <cell r="BN18" t="str">
            <v>T113 - Tissue Biologist</v>
          </cell>
          <cell r="BO18" t="str">
            <v>Tissue Biologist FTE annual cost</v>
          </cell>
          <cell r="BP18" t="str">
            <v>B40/22.P997.416.XXX-T113</v>
          </cell>
          <cell r="BQ18" t="str">
            <v>Per annual FTE</v>
          </cell>
          <cell r="BR18" t="str">
            <v>416</v>
          </cell>
          <cell r="BS18" t="str">
            <v>B40</v>
          </cell>
          <cell r="BT18" t="str">
            <v>CPB</v>
          </cell>
          <cell r="BU18" t="str">
            <v>Evogene service</v>
          </cell>
          <cell r="BV18" t="str">
            <v>Period</v>
          </cell>
          <cell r="BW18">
            <v>518.6535746832518</v>
          </cell>
          <cell r="CP18" t="str">
            <v xml:space="preserve"> </v>
          </cell>
        </row>
        <row r="19">
          <cell r="B19">
            <v>996</v>
          </cell>
          <cell r="C19" t="str">
            <v>Canonic BD</v>
          </cell>
          <cell r="P19" t="str">
            <v>Zero Balance</v>
          </cell>
          <cell r="Q19" t="str">
            <v>P509 - Zero Balance</v>
          </cell>
          <cell r="R19" t="str">
            <v>Corporate</v>
          </cell>
          <cell r="S19" t="str">
            <v>P509</v>
          </cell>
          <cell r="BN19" t="str">
            <v>T114 - Hourly Student</v>
          </cell>
          <cell r="BO19" t="str">
            <v>Hourly Student FTE annual cost</v>
          </cell>
          <cell r="BQ19" t="str">
            <v>Per annual FTE</v>
          </cell>
          <cell r="BR19" t="str">
            <v>418</v>
          </cell>
          <cell r="BS19" t="str">
            <v>B40</v>
          </cell>
          <cell r="BT19" t="str">
            <v>External</v>
          </cell>
          <cell r="BU19" t="str">
            <v>External</v>
          </cell>
          <cell r="BV19" t="str">
            <v>Period</v>
          </cell>
          <cell r="CP19" t="str">
            <v xml:space="preserve"> </v>
          </cell>
        </row>
        <row r="20">
          <cell r="B20">
            <v>982</v>
          </cell>
          <cell r="C20" t="str">
            <v>Canonic Exec.MGMT</v>
          </cell>
          <cell r="P20" t="str">
            <v>Operations &amp; Corporate</v>
          </cell>
          <cell r="Q20" t="str">
            <v>P7 - Operations &amp; Corporate</v>
          </cell>
          <cell r="R20" t="str">
            <v>Corporate</v>
          </cell>
          <cell r="S20" t="str">
            <v>P7</v>
          </cell>
          <cell r="BN20" t="str">
            <v>T115 - System Architect</v>
          </cell>
          <cell r="BW20">
            <v>1107.4707227446638</v>
          </cell>
          <cell r="CP20" t="str">
            <v xml:space="preserve"> </v>
          </cell>
        </row>
        <row r="21">
          <cell r="B21">
            <v>981</v>
          </cell>
          <cell r="C21" t="str">
            <v>Canonic RD</v>
          </cell>
          <cell r="P21" t="str">
            <v>CPB Upkeep Computational</v>
          </cell>
          <cell r="Q21" t="str">
            <v>P271 - CPB Upkeep Computational</v>
          </cell>
          <cell r="R21" t="str">
            <v>CPB</v>
          </cell>
          <cell r="S21" t="str">
            <v>P271</v>
          </cell>
          <cell r="BN21" t="str">
            <v>T201 - Data Package</v>
          </cell>
          <cell r="BO21" t="str">
            <v>Data Package Fixed cost</v>
          </cell>
          <cell r="BP21" t="str">
            <v>B40/22.P271.422.XXX-T201</v>
          </cell>
          <cell r="BQ21" t="str">
            <v>Fixed - Specific</v>
          </cell>
          <cell r="BR21" t="str">
            <v>422</v>
          </cell>
          <cell r="BS21" t="str">
            <v>B40</v>
          </cell>
          <cell r="BT21" t="str">
            <v>CPB</v>
          </cell>
          <cell r="BU21" t="str">
            <v>Evogene service</v>
          </cell>
          <cell r="BV21" t="str">
            <v>Period</v>
          </cell>
          <cell r="CP21" t="str">
            <v xml:space="preserve"> </v>
          </cell>
        </row>
        <row r="22">
          <cell r="B22">
            <v>993</v>
          </cell>
          <cell r="C22" t="str">
            <v>Casterra BD</v>
          </cell>
          <cell r="P22" t="str">
            <v>CPB Upkeep Experimental</v>
          </cell>
          <cell r="Q22" t="str">
            <v>P275 - CPB Upkeep Experimental</v>
          </cell>
          <cell r="R22" t="str">
            <v>CPB</v>
          </cell>
          <cell r="S22" t="str">
            <v>P275</v>
          </cell>
          <cell r="BN22" t="str">
            <v>T202 - Genes Package</v>
          </cell>
          <cell r="BO22" t="str">
            <v>Genes Package Fixed cost</v>
          </cell>
          <cell r="BP22" t="str">
            <v>B40/22.P272.422.XXX-T202</v>
          </cell>
          <cell r="BQ22" t="str">
            <v>Fixed - Specific</v>
          </cell>
          <cell r="BR22" t="str">
            <v>422</v>
          </cell>
          <cell r="BS22" t="str">
            <v>B40</v>
          </cell>
          <cell r="BT22" t="str">
            <v>CPB</v>
          </cell>
          <cell r="BU22" t="str">
            <v>Evogene service</v>
          </cell>
          <cell r="BV22" t="str">
            <v>Period</v>
          </cell>
          <cell r="CP22" t="str">
            <v xml:space="preserve"> </v>
          </cell>
        </row>
        <row r="23">
          <cell r="B23">
            <v>998</v>
          </cell>
          <cell r="C23" t="str">
            <v>Casterra RD</v>
          </cell>
          <cell r="P23" t="str">
            <v>CTO Projects</v>
          </cell>
          <cell r="Q23" t="str">
            <v>P276 - CTO Projects</v>
          </cell>
          <cell r="R23" t="str">
            <v>CPB</v>
          </cell>
          <cell r="S23" t="str">
            <v>P276</v>
          </cell>
          <cell r="BN23" t="str">
            <v>T203 - Microbes Package</v>
          </cell>
          <cell r="BO23" t="str">
            <v>Microbes Package Fixed cost</v>
          </cell>
          <cell r="BP23" t="str">
            <v>B40/22.P273.422.XXX-T203</v>
          </cell>
          <cell r="BQ23" t="str">
            <v>Fixed - Specific</v>
          </cell>
          <cell r="BR23" t="str">
            <v>422</v>
          </cell>
          <cell r="BS23" t="str">
            <v>B40</v>
          </cell>
          <cell r="BT23" t="str">
            <v>CPB</v>
          </cell>
          <cell r="BU23" t="str">
            <v>Evogene service</v>
          </cell>
          <cell r="BV23" t="str">
            <v>Period</v>
          </cell>
          <cell r="CP23" t="str">
            <v xml:space="preserve"> </v>
          </cell>
        </row>
        <row r="24">
          <cell r="B24">
            <v>417</v>
          </cell>
          <cell r="C24" t="str">
            <v>Chemistry Lab</v>
          </cell>
          <cell r="P24" t="str">
            <v>CPB projects Computational</v>
          </cell>
          <cell r="Q24" t="str">
            <v>P279 - CPB projects Computational</v>
          </cell>
          <cell r="R24" t="str">
            <v>CPB</v>
          </cell>
          <cell r="S24" t="str">
            <v>P279</v>
          </cell>
          <cell r="BN24" t="str">
            <v>T204 - Small Molecules</v>
          </cell>
          <cell r="BO24" t="str">
            <v>Small Molecules Fixed cost</v>
          </cell>
          <cell r="BP24" t="str">
            <v>B40/22.P274.422.XXX-T204</v>
          </cell>
          <cell r="BQ24" t="str">
            <v>Fixed - Specific</v>
          </cell>
          <cell r="BR24" t="str">
            <v>422</v>
          </cell>
          <cell r="BS24" t="str">
            <v>B40</v>
          </cell>
          <cell r="BT24" t="str">
            <v>CPB</v>
          </cell>
          <cell r="BU24" t="str">
            <v>Evogene service</v>
          </cell>
          <cell r="BV24" t="str">
            <v>Period</v>
          </cell>
          <cell r="CP24" t="str">
            <v xml:space="preserve"> </v>
          </cell>
        </row>
        <row r="25">
          <cell r="B25">
            <v>602</v>
          </cell>
          <cell r="C25" t="str">
            <v>Corporate BD</v>
          </cell>
          <cell r="P25" t="str">
            <v>CPB projects Experimental</v>
          </cell>
          <cell r="Q25" t="str">
            <v>P281 - CPB projects Experimental</v>
          </cell>
          <cell r="R25" t="str">
            <v>CPB</v>
          </cell>
          <cell r="S25" t="str">
            <v>P281</v>
          </cell>
          <cell r="BN25" t="str">
            <v>T205 - Labs and GH package</v>
          </cell>
          <cell r="BO25" t="str">
            <v>Labs and GH package Fixed cost</v>
          </cell>
          <cell r="BP25" t="str">
            <v>B40/22.P275.422.XXX-T205</v>
          </cell>
          <cell r="BQ25" t="str">
            <v>Fixed - Specific</v>
          </cell>
          <cell r="BR25" t="str">
            <v>422</v>
          </cell>
          <cell r="BS25" t="str">
            <v>B40</v>
          </cell>
          <cell r="BT25" t="str">
            <v>CPB</v>
          </cell>
          <cell r="BU25" t="str">
            <v>Evogene service</v>
          </cell>
          <cell r="BV25" t="str">
            <v>Period</v>
          </cell>
          <cell r="CP25" t="str">
            <v xml:space="preserve"> </v>
          </cell>
        </row>
        <row r="26">
          <cell r="B26">
            <v>601</v>
          </cell>
          <cell r="C26" t="str">
            <v>Corporate Exec. MGMT</v>
          </cell>
          <cell r="P26" t="str">
            <v xml:space="preserve">Crop4Clima </v>
          </cell>
          <cell r="Q26" t="str">
            <v xml:space="preserve">P300 - Crop4Clima </v>
          </cell>
          <cell r="R26" t="str">
            <v>Ag-Seed</v>
          </cell>
          <cell r="S26" t="str">
            <v>P300</v>
          </cell>
          <cell r="BN26" t="str">
            <v>T206 - GR</v>
          </cell>
          <cell r="BW26">
            <v>0</v>
          </cell>
          <cell r="CP26" t="str">
            <v xml:space="preserve"> </v>
          </cell>
        </row>
        <row r="27">
          <cell r="B27">
            <v>411</v>
          </cell>
          <cell r="C27" t="str">
            <v>Data Generation</v>
          </cell>
          <cell r="P27" t="str">
            <v>Corteva</v>
          </cell>
          <cell r="Q27" t="str">
            <v>P143 - Corteva</v>
          </cell>
          <cell r="R27" t="str">
            <v>Lavie Bio</v>
          </cell>
          <cell r="S27" t="str">
            <v>P143</v>
          </cell>
          <cell r="BN27" t="str">
            <v>T207 - CP</v>
          </cell>
        </row>
        <row r="28">
          <cell r="B28">
            <v>420</v>
          </cell>
          <cell r="C28" t="str">
            <v>DevOps</v>
          </cell>
          <cell r="P28" t="str">
            <v>Corteva - IA</v>
          </cell>
          <cell r="Q28" t="str">
            <v>P145-Corteva - IA</v>
          </cell>
          <cell r="R28" t="str">
            <v>Lavie Bio</v>
          </cell>
          <cell r="S28" t="str">
            <v>P145</v>
          </cell>
          <cell r="BN28" t="str">
            <v>T208 - MB</v>
          </cell>
        </row>
        <row r="29">
          <cell r="B29">
            <v>650</v>
          </cell>
          <cell r="C29" t="str">
            <v>Evogene CSO</v>
          </cell>
          <cell r="P29" t="str">
            <v>Thrivus</v>
          </cell>
          <cell r="Q29" t="str">
            <v>P19 - Thrivus</v>
          </cell>
          <cell r="R29" t="str">
            <v>Lavie Bio</v>
          </cell>
          <cell r="S29" t="str">
            <v>P19</v>
          </cell>
          <cell r="BN29" t="str">
            <v>T209 - Computational</v>
          </cell>
          <cell r="CP29" t="str">
            <v xml:space="preserve"> </v>
          </cell>
        </row>
        <row r="30">
          <cell r="B30">
            <v>997</v>
          </cell>
          <cell r="C30" t="str">
            <v>Evogene INC</v>
          </cell>
          <cell r="P30" t="str">
            <v>Lavie_programs</v>
          </cell>
          <cell r="Q30" t="str">
            <v>P192-Lavie programs</v>
          </cell>
          <cell r="R30" t="str">
            <v>Lavie Bio</v>
          </cell>
          <cell r="S30" t="str">
            <v>P192</v>
          </cell>
          <cell r="BN30" t="str">
            <v>T210 - Experimnetal</v>
          </cell>
        </row>
        <row r="31">
          <cell r="B31">
            <v>607</v>
          </cell>
          <cell r="C31" t="str">
            <v>Finance</v>
          </cell>
          <cell r="P31" t="str">
            <v>ICL</v>
          </cell>
          <cell r="Q31" t="str">
            <v>P82 - ICL</v>
          </cell>
          <cell r="R31" t="str">
            <v>Lavie Bio</v>
          </cell>
          <cell r="S31" t="str">
            <v>P82</v>
          </cell>
          <cell r="BN31" t="str">
            <v>T299 - Margin CPB</v>
          </cell>
          <cell r="BO31" t="str">
            <v>Margin CPB Fixed cost</v>
          </cell>
          <cell r="BP31" t="str">
            <v>B40/22.P997.422.XXX-T299</v>
          </cell>
          <cell r="BQ31" t="str">
            <v>Fixed - Specific</v>
          </cell>
          <cell r="BR31" t="str">
            <v>422</v>
          </cell>
          <cell r="BS31" t="str">
            <v>B40</v>
          </cell>
          <cell r="BT31" t="str">
            <v>CPB</v>
          </cell>
          <cell r="BU31" t="str">
            <v>Evogene service</v>
          </cell>
          <cell r="BV31" t="str">
            <v>Period</v>
          </cell>
        </row>
        <row r="32">
          <cell r="B32">
            <v>603</v>
          </cell>
          <cell r="C32" t="str">
            <v>HR</v>
          </cell>
          <cell r="P32" t="str">
            <v>Product-CP</v>
          </cell>
          <cell r="Q32" t="str">
            <v>P264 - Product-CP</v>
          </cell>
          <cell r="R32" t="str">
            <v>Product</v>
          </cell>
          <cell r="S32" t="str">
            <v>P264</v>
          </cell>
          <cell r="BN32" t="str">
            <v>T301 - Green House Controlled</v>
          </cell>
          <cell r="BO32" t="str">
            <v>Green House Controlled Fixed cost  Per annual 50 SQM</v>
          </cell>
          <cell r="BP32" t="str">
            <v>B90/22.P997.425.XXX-T301</v>
          </cell>
          <cell r="BQ32" t="str">
            <v>Annual per unit</v>
          </cell>
          <cell r="BR32" t="str">
            <v>425</v>
          </cell>
          <cell r="BS32" t="str">
            <v>B90</v>
          </cell>
          <cell r="BT32" t="str">
            <v>CPB</v>
          </cell>
          <cell r="BU32" t="str">
            <v>Evogene service</v>
          </cell>
          <cell r="BV32" t="str">
            <v>Period</v>
          </cell>
          <cell r="BW32">
            <v>677</v>
          </cell>
        </row>
        <row r="33">
          <cell r="B33">
            <v>605</v>
          </cell>
          <cell r="C33" t="str">
            <v>IP</v>
          </cell>
          <cell r="P33" t="str">
            <v>Product- MB</v>
          </cell>
          <cell r="Q33" t="str">
            <v>P265 - Product- MB</v>
          </cell>
          <cell r="R33" t="str">
            <v>Product</v>
          </cell>
          <cell r="S33" t="str">
            <v>P265</v>
          </cell>
          <cell r="BN33" t="str">
            <v>T302 - Green House Non-Controlled</v>
          </cell>
          <cell r="BO33" t="str">
            <v>Green House Non-Controlled Fixed cost  Per annual 200 SQM</v>
          </cell>
          <cell r="BP33" t="str">
            <v>B90/22.P997.425.XXX-T302</v>
          </cell>
          <cell r="BQ33" t="str">
            <v>Annual per unit</v>
          </cell>
          <cell r="BR33" t="str">
            <v>425</v>
          </cell>
          <cell r="BS33" t="str">
            <v>B90</v>
          </cell>
          <cell r="BT33" t="str">
            <v>CPB</v>
          </cell>
          <cell r="BU33" t="str">
            <v>Evogene service</v>
          </cell>
          <cell r="BV33" t="str">
            <v>Period</v>
          </cell>
          <cell r="BW33">
            <v>170</v>
          </cell>
        </row>
        <row r="34">
          <cell r="B34">
            <v>609</v>
          </cell>
          <cell r="C34" t="str">
            <v>IP Part time</v>
          </cell>
          <cell r="P34" t="str">
            <v>Product- GR</v>
          </cell>
          <cell r="Q34" t="str">
            <v>P266 - Product- GR</v>
          </cell>
          <cell r="R34" t="str">
            <v>Product</v>
          </cell>
          <cell r="S34" t="str">
            <v>P266</v>
          </cell>
          <cell r="BN34" t="str">
            <v>T303 - Office utilities</v>
          </cell>
          <cell r="BO34" t="str">
            <v>Office utilities Fixed cost</v>
          </cell>
          <cell r="BP34" t="str">
            <v>B90/22.P997.425.XXX-T303</v>
          </cell>
          <cell r="BQ34" t="str">
            <v>Fixed - Specific</v>
          </cell>
          <cell r="BR34" t="str">
            <v>425</v>
          </cell>
          <cell r="BS34" t="str">
            <v>B90</v>
          </cell>
          <cell r="BT34" t="str">
            <v>Corporate</v>
          </cell>
          <cell r="BU34" t="str">
            <v>Evogene service</v>
          </cell>
          <cell r="BV34" t="str">
            <v>Period</v>
          </cell>
        </row>
        <row r="35">
          <cell r="B35">
            <v>606</v>
          </cell>
          <cell r="C35" t="str">
            <v>IR\PR</v>
          </cell>
          <cell r="P35" t="str">
            <v xml:space="preserve">Product- Upkeep GR </v>
          </cell>
          <cell r="Q35" t="str">
            <v xml:space="preserve">P272 - Product- Upkeep GR </v>
          </cell>
          <cell r="R35" t="str">
            <v>Product</v>
          </cell>
          <cell r="S35" t="str">
            <v>P272</v>
          </cell>
          <cell r="BN35" t="str">
            <v>T304 - Labs utilities</v>
          </cell>
          <cell r="BO35" t="str">
            <v>Labs utilities Fixed cost</v>
          </cell>
          <cell r="BP35" t="str">
            <v>B90/22.P997.425.XXX-T304</v>
          </cell>
          <cell r="BQ35" t="str">
            <v>Fixed - Specific</v>
          </cell>
          <cell r="BR35" t="str">
            <v>425</v>
          </cell>
          <cell r="BS35" t="str">
            <v>B90</v>
          </cell>
          <cell r="BT35" t="str">
            <v>Corporate</v>
          </cell>
          <cell r="BU35" t="str">
            <v>Evogene service</v>
          </cell>
          <cell r="BV35" t="str">
            <v>Period</v>
          </cell>
        </row>
        <row r="36">
          <cell r="B36">
            <v>421</v>
          </cell>
          <cell r="C36" t="str">
            <v>IT</v>
          </cell>
          <cell r="P36" t="str">
            <v xml:space="preserve">Product- Upkeep MB </v>
          </cell>
          <cell r="Q36" t="str">
            <v xml:space="preserve">P273 - Product- Upkeep MB </v>
          </cell>
          <cell r="R36" t="str">
            <v>Product</v>
          </cell>
          <cell r="S36" t="str">
            <v>P273</v>
          </cell>
          <cell r="BN36" t="str">
            <v>T399 - Margin Operation</v>
          </cell>
          <cell r="BO36" t="str">
            <v>Margin Operation Fixed cost</v>
          </cell>
          <cell r="BP36" t="str">
            <v>B90/22.P997.425.XXX-T399</v>
          </cell>
          <cell r="BQ36" t="str">
            <v>Fixed - Specific</v>
          </cell>
          <cell r="BR36" t="str">
            <v>425</v>
          </cell>
          <cell r="BS36" t="str">
            <v>B90</v>
          </cell>
          <cell r="BT36" t="str">
            <v>Corporate</v>
          </cell>
          <cell r="BU36" t="str">
            <v>Evogene service</v>
          </cell>
          <cell r="BV36" t="str">
            <v>Period</v>
          </cell>
        </row>
        <row r="37">
          <cell r="B37">
            <v>102</v>
          </cell>
          <cell r="C37" t="str">
            <v>Lavie Bio BD .LTD</v>
          </cell>
          <cell r="P37" t="str">
            <v xml:space="preserve">Product- Upkeep CP </v>
          </cell>
          <cell r="Q37" t="str">
            <v xml:space="preserve">P274 - Product- Upkeep CP </v>
          </cell>
          <cell r="R37" t="str">
            <v>Product</v>
          </cell>
          <cell r="S37" t="str">
            <v>P274</v>
          </cell>
          <cell r="BN37" t="str">
            <v>T901 - Finance &amp; Purchasing &amp;D&amp;O</v>
          </cell>
          <cell r="BP37" t="str">
            <v>B90/62.P997.607.XXX-T901</v>
          </cell>
          <cell r="BQ37" t="str">
            <v>Per 1 organic FTE</v>
          </cell>
          <cell r="BR37" t="str">
            <v>607</v>
          </cell>
          <cell r="BS37" t="str">
            <v>B90</v>
          </cell>
          <cell r="BT37" t="str">
            <v>Corporate</v>
          </cell>
          <cell r="BU37" t="str">
            <v>Evogene service</v>
          </cell>
          <cell r="BV37" t="str">
            <v>Period</v>
          </cell>
        </row>
        <row r="38">
          <cell r="B38">
            <v>105</v>
          </cell>
          <cell r="C38" t="str">
            <v>Lavie Bio Development .LTD</v>
          </cell>
          <cell r="P38" t="str">
            <v>CrisprIL_WP1</v>
          </cell>
          <cell r="Q38" t="str">
            <v>P277 - CrisprIL_WP1</v>
          </cell>
          <cell r="R38" t="str">
            <v>Product</v>
          </cell>
          <cell r="S38" t="str">
            <v>P277</v>
          </cell>
          <cell r="BN38" t="str">
            <v>T902 - HR</v>
          </cell>
          <cell r="BP38" t="str">
            <v>B90/62.P997.603.XXX-T902</v>
          </cell>
          <cell r="BQ38" t="str">
            <v>Per 1 organic FTE</v>
          </cell>
          <cell r="BR38" t="str">
            <v>603</v>
          </cell>
          <cell r="BS38" t="str">
            <v>B90</v>
          </cell>
          <cell r="BT38" t="str">
            <v>Corporate</v>
          </cell>
          <cell r="BU38" t="str">
            <v>Evogene service</v>
          </cell>
          <cell r="BV38" t="str">
            <v>Period</v>
          </cell>
        </row>
        <row r="39">
          <cell r="B39">
            <v>101</v>
          </cell>
          <cell r="C39" t="str">
            <v xml:space="preserve"> Lavie Bio Exec. MGMT</v>
          </cell>
          <cell r="P39" t="str">
            <v>CrisprIL_WP4</v>
          </cell>
          <cell r="Q39" t="str">
            <v>P278 - CrisprIL_WP4</v>
          </cell>
          <cell r="R39" t="str">
            <v>Product</v>
          </cell>
          <cell r="S39" t="str">
            <v>P278</v>
          </cell>
          <cell r="BP39" t="str">
            <v>B90/22.P997.608.XXX-T903</v>
          </cell>
          <cell r="BQ39" t="str">
            <v>Per 1 organic FTE</v>
          </cell>
          <cell r="BR39" t="str">
            <v>608</v>
          </cell>
          <cell r="BS39" t="str">
            <v>B90</v>
          </cell>
          <cell r="BT39" t="str">
            <v>Corporate</v>
          </cell>
          <cell r="BU39" t="str">
            <v>Evogene service</v>
          </cell>
          <cell r="BV39" t="str">
            <v>Period</v>
          </cell>
        </row>
        <row r="40">
          <cell r="B40">
            <v>121</v>
          </cell>
          <cell r="C40" t="str">
            <v>Lavie Bio INC</v>
          </cell>
          <cell r="P40" t="str">
            <v>CrisprIL_Prediction</v>
          </cell>
          <cell r="Q40" t="str">
            <v>P280 - CrisprIL_Prediction</v>
          </cell>
          <cell r="R40" t="str">
            <v>Product</v>
          </cell>
          <cell r="S40" t="str">
            <v>P280</v>
          </cell>
          <cell r="BN40" t="str">
            <v>T904 - IT</v>
          </cell>
          <cell r="BP40" t="str">
            <v>B40/22.P97.421.XXX-T904</v>
          </cell>
          <cell r="BQ40" t="str">
            <v>Per 1 organic FTE</v>
          </cell>
          <cell r="BR40" t="str">
            <v>421</v>
          </cell>
          <cell r="BS40" t="str">
            <v>B40</v>
          </cell>
          <cell r="BT40" t="str">
            <v>CPB</v>
          </cell>
          <cell r="BU40" t="str">
            <v>Evogene service</v>
          </cell>
          <cell r="BV40" t="str">
            <v>Period</v>
          </cell>
        </row>
        <row r="41">
          <cell r="B41">
            <v>123</v>
          </cell>
          <cell r="C41" t="str">
            <v>Lavie Bio INC Admin</v>
          </cell>
          <cell r="P41" t="str">
            <v>Product general</v>
          </cell>
          <cell r="Q41" t="str">
            <v>P282-Product general</v>
          </cell>
          <cell r="R41" t="str">
            <v>Product</v>
          </cell>
          <cell r="S41" t="str">
            <v>P282</v>
          </cell>
          <cell r="BN41" t="str">
            <v>T905 - IP</v>
          </cell>
          <cell r="BP41" t="str">
            <v>B90/22.P997.609.XXX-T905</v>
          </cell>
          <cell r="BQ41" t="str">
            <v>Per 1 organic FTE</v>
          </cell>
          <cell r="BR41" t="str">
            <v>609</v>
          </cell>
          <cell r="BS41" t="str">
            <v>B90</v>
          </cell>
          <cell r="BT41" t="str">
            <v>Corporate</v>
          </cell>
          <cell r="BU41" t="str">
            <v>Evogene service</v>
          </cell>
          <cell r="BV41" t="str">
            <v>Period</v>
          </cell>
        </row>
        <row r="42">
          <cell r="B42">
            <v>122</v>
          </cell>
          <cell r="C42" t="str">
            <v>Lavie Bio BD .INC</v>
          </cell>
          <cell r="P42" t="str">
            <v>Services</v>
          </cell>
          <cell r="Q42" t="str">
            <v>P997 - Services</v>
          </cell>
          <cell r="S42" t="str">
            <v>P997</v>
          </cell>
          <cell r="BP42" t="str">
            <v>B90/62.P997.607.XXX-T911</v>
          </cell>
          <cell r="BQ42" t="str">
            <v>Per Company</v>
          </cell>
          <cell r="BR42" t="str">
            <v>607</v>
          </cell>
          <cell r="BS42" t="str">
            <v>B90</v>
          </cell>
          <cell r="BT42" t="str">
            <v>Corporate</v>
          </cell>
          <cell r="BU42" t="str">
            <v>Evogene service</v>
          </cell>
          <cell r="BV42" t="str">
            <v>Period</v>
          </cell>
        </row>
        <row r="43">
          <cell r="B43">
            <v>120</v>
          </cell>
          <cell r="C43" t="str">
            <v>Lavie Bio Management .INC</v>
          </cell>
          <cell r="P43" t="str">
            <v>Salaries</v>
          </cell>
          <cell r="Q43" t="str">
            <v>P998 - Salaries</v>
          </cell>
          <cell r="S43" t="str">
            <v>P998</v>
          </cell>
          <cell r="BN43" t="str">
            <v>T912 - IRPR</v>
          </cell>
          <cell r="BP43" t="str">
            <v>B90/62.P997.606.XXX-T912</v>
          </cell>
          <cell r="BQ43" t="str">
            <v>Fixed - Specific</v>
          </cell>
          <cell r="BR43" t="str">
            <v>606</v>
          </cell>
          <cell r="BS43" t="str">
            <v>B90</v>
          </cell>
          <cell r="BT43" t="str">
            <v>Corporate</v>
          </cell>
          <cell r="BU43" t="str">
            <v>Evogene service</v>
          </cell>
          <cell r="BV43" t="str">
            <v>Period</v>
          </cell>
        </row>
        <row r="44">
          <cell r="B44">
            <v>108</v>
          </cell>
          <cell r="C44" t="str">
            <v>Lavie Bio Micro. Lab</v>
          </cell>
          <cell r="P44" t="str">
            <v>General</v>
          </cell>
          <cell r="Q44" t="str">
            <v>P999 - General</v>
          </cell>
          <cell r="S44" t="str">
            <v>P999</v>
          </cell>
          <cell r="BN44" t="str">
            <v>T914 - Marcom</v>
          </cell>
        </row>
        <row r="45">
          <cell r="B45">
            <v>103</v>
          </cell>
          <cell r="C45" t="str">
            <v>Lavie Bio PM</v>
          </cell>
          <cell r="BN45" t="str">
            <v>T913 - Legal</v>
          </cell>
          <cell r="BP45" t="str">
            <v>B90/62.P997.604.XXX-T913</v>
          </cell>
          <cell r="BQ45" t="str">
            <v>Fixed - Specific</v>
          </cell>
          <cell r="BR45" t="str">
            <v>604</v>
          </cell>
          <cell r="BS45" t="str">
            <v>B90</v>
          </cell>
          <cell r="BT45" t="str">
            <v>Corporate</v>
          </cell>
          <cell r="BU45" t="str">
            <v>Evogene service</v>
          </cell>
          <cell r="BV45" t="str">
            <v>Period</v>
          </cell>
        </row>
        <row r="46">
          <cell r="B46">
            <v>109</v>
          </cell>
          <cell r="C46" t="str">
            <v xml:space="preserve">Lavie Bio Phyto. Lab </v>
          </cell>
          <cell r="BN46" t="str">
            <v>T999 - Margin Corporate</v>
          </cell>
          <cell r="BO46" t="str">
            <v>Margin Corporate Fixed cost</v>
          </cell>
          <cell r="BP46" t="str">
            <v>B90/62.P997.607.XXX-T999</v>
          </cell>
          <cell r="BQ46" t="str">
            <v>Fixed - Specific</v>
          </cell>
          <cell r="BR46" t="str">
            <v>607</v>
          </cell>
          <cell r="BS46" t="str">
            <v>B90</v>
          </cell>
          <cell r="BT46" t="str">
            <v>Corporate</v>
          </cell>
          <cell r="BU46" t="str">
            <v>Evogene service</v>
          </cell>
          <cell r="BV46" t="str">
            <v>Period</v>
          </cell>
          <cell r="BW46">
            <v>0</v>
          </cell>
        </row>
        <row r="47">
          <cell r="B47">
            <v>107</v>
          </cell>
          <cell r="C47" t="str">
            <v>Lavie Bio RD MNG</v>
          </cell>
          <cell r="BN47" t="str">
            <v>E998 - Revenue+Grant</v>
          </cell>
          <cell r="BT47" t="str">
            <v>Revenue+Grant</v>
          </cell>
          <cell r="BU47" t="str">
            <v>External</v>
          </cell>
          <cell r="BW47">
            <v>0</v>
          </cell>
        </row>
        <row r="48">
          <cell r="B48">
            <v>104</v>
          </cell>
          <cell r="C48" t="str">
            <v>Lavie Bio Research .LTD</v>
          </cell>
        </row>
        <row r="49">
          <cell r="B49">
            <v>106</v>
          </cell>
          <cell r="C49" t="str">
            <v>Lavie Bio Systems</v>
          </cell>
        </row>
        <row r="50">
          <cell r="B50">
            <v>604</v>
          </cell>
          <cell r="C50" t="str">
            <v>Legal</v>
          </cell>
        </row>
        <row r="51">
          <cell r="B51">
            <v>413</v>
          </cell>
          <cell r="C51" t="str">
            <v>Molecular Lab</v>
          </cell>
        </row>
        <row r="52">
          <cell r="B52">
            <v>425</v>
          </cell>
          <cell r="C52" t="str">
            <v>Operations</v>
          </cell>
        </row>
        <row r="53">
          <cell r="B53">
            <v>412</v>
          </cell>
          <cell r="C53" t="str">
            <v>PLM</v>
          </cell>
        </row>
        <row r="54">
          <cell r="B54">
            <v>415</v>
          </cell>
          <cell r="C54" t="str">
            <v>Phytopathology Lab</v>
          </cell>
        </row>
        <row r="55">
          <cell r="B55">
            <v>418</v>
          </cell>
          <cell r="C55" t="str">
            <v>Plant Growth</v>
          </cell>
        </row>
        <row r="56">
          <cell r="B56">
            <v>427</v>
          </cell>
          <cell r="C56" t="str">
            <v>Product Management</v>
          </cell>
        </row>
        <row r="57">
          <cell r="B57">
            <v>426</v>
          </cell>
          <cell r="C57" t="str">
            <v>Project Management</v>
          </cell>
        </row>
        <row r="58">
          <cell r="B58">
            <v>608</v>
          </cell>
          <cell r="C58" t="str">
            <v>Purchasing</v>
          </cell>
        </row>
        <row r="59">
          <cell r="B59">
            <v>419</v>
          </cell>
          <cell r="C59" t="str">
            <v>QA</v>
          </cell>
        </row>
        <row r="60">
          <cell r="B60">
            <v>428</v>
          </cell>
          <cell r="C60" t="str">
            <v>Seed Bank</v>
          </cell>
        </row>
        <row r="61">
          <cell r="B61">
            <v>406</v>
          </cell>
          <cell r="C61" t="str">
            <v>Software Development</v>
          </cell>
        </row>
        <row r="62">
          <cell r="B62">
            <v>416</v>
          </cell>
          <cell r="C62" t="str">
            <v>Tissue Culture</v>
          </cell>
        </row>
        <row r="63">
          <cell r="B63">
            <v>111</v>
          </cell>
          <cell r="C63" t="str">
            <v>Lavie Bio COO .LTD</v>
          </cell>
        </row>
        <row r="64">
          <cell r="B64">
            <v>124</v>
          </cell>
          <cell r="C64" t="str">
            <v>Lavie Bio COO .INC</v>
          </cell>
        </row>
        <row r="65">
          <cell r="B65">
            <v>125</v>
          </cell>
          <cell r="C65" t="str">
            <v>Lavie Bio US site</v>
          </cell>
        </row>
        <row r="66">
          <cell r="B66">
            <v>126</v>
          </cell>
          <cell r="C66" t="str">
            <v>Lavie Bio Commercial .LTD</v>
          </cell>
        </row>
        <row r="67">
          <cell r="B67">
            <v>127</v>
          </cell>
          <cell r="C67" t="str">
            <v>Lavie Bio Commercial .INC</v>
          </cell>
        </row>
        <row r="68">
          <cell r="B68">
            <v>128</v>
          </cell>
          <cell r="C68" t="str">
            <v>Lavie Bio Development .INC</v>
          </cell>
        </row>
        <row r="69">
          <cell r="B69">
            <v>129</v>
          </cell>
          <cell r="C69" t="str">
            <v>Lavie Bio Research .INC</v>
          </cell>
        </row>
        <row r="70">
          <cell r="B70">
            <v>130</v>
          </cell>
          <cell r="C70" t="str">
            <v>Lavie Bio Field Dev.LTD</v>
          </cell>
        </row>
        <row r="71">
          <cell r="B71">
            <v>131</v>
          </cell>
          <cell r="C71" t="str">
            <v>Lavie Bio Field Dev. .INC</v>
          </cell>
        </row>
        <row r="72">
          <cell r="B72">
            <v>132</v>
          </cell>
          <cell r="C72" t="str">
            <v>Lavie Bio Micro. Lab .LTD</v>
          </cell>
        </row>
        <row r="73">
          <cell r="B73">
            <v>133</v>
          </cell>
          <cell r="C73" t="str">
            <v>Lavie Bio Micro. Lab .INC</v>
          </cell>
        </row>
      </sheetData>
      <sheetData sheetId="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B Canonic 31.3.23"/>
      <sheetName val="TB Canonic 30.6.23"/>
      <sheetName val="BOD slides 30.6.23"/>
      <sheetName val="BOD slides 31.3.23"/>
      <sheetName val="BOD slides 31.12.22"/>
      <sheetName val="P&amp;L and details"/>
      <sheetName val="Pivot 1"/>
      <sheetName val="Pivot 2"/>
      <sheetName val="pivot task unit"/>
      <sheetName val="shut down simulation (2)"/>
      <sheetName val="SOW"/>
      <sheetName val="Sheet1"/>
      <sheetName val="shut down simulation"/>
      <sheetName val="Parameters"/>
      <sheetName val="Pivot 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>
        <row r="1">
          <cell r="B1" t="str">
            <v>DepartmentNo.</v>
          </cell>
          <cell r="C1" t="str">
            <v>Department Name</v>
          </cell>
          <cell r="P1" t="str">
            <v>ProjectName</v>
          </cell>
          <cell r="Q1" t="str">
            <v>ProjectFull</v>
          </cell>
          <cell r="R1" t="str">
            <v>Default Division</v>
          </cell>
          <cell r="S1" t="str">
            <v>ProjectNum</v>
          </cell>
          <cell r="U1" t="str">
            <v>Prefix</v>
          </cell>
          <cell r="V1" t="str">
            <v>Division</v>
          </cell>
          <cell r="BN1" t="str">
            <v>Ending</v>
          </cell>
          <cell r="BO1" t="str">
            <v>Task Description</v>
          </cell>
          <cell r="BP1" t="str">
            <v>Credit Budget</v>
          </cell>
          <cell r="BQ1" t="str">
            <v>Unit Description</v>
          </cell>
          <cell r="BR1" t="str">
            <v>Cost Department</v>
          </cell>
          <cell r="BS1" t="str">
            <v>Defalut Credit Prefix</v>
          </cell>
          <cell r="BT1" t="str">
            <v>Ending Type</v>
          </cell>
          <cell r="BU1" t="str">
            <v>Ending Group</v>
          </cell>
          <cell r="BV1" t="str">
            <v>Recognition Type</v>
          </cell>
          <cell r="BW1" t="str">
            <v>Cost Per unit</v>
          </cell>
          <cell r="CG1" t="str">
            <v>FinReport</v>
          </cell>
          <cell r="CH1" t="str">
            <v>Code</v>
          </cell>
        </row>
        <row r="2">
          <cell r="B2">
            <v>304</v>
          </cell>
          <cell r="C2" t="str">
            <v>Ag-Seed</v>
          </cell>
          <cell r="P2" t="str">
            <v>agPlenus Tech</v>
          </cell>
          <cell r="Q2" t="str">
            <v>P21 - agPlenus Tech</v>
          </cell>
          <cell r="R2" t="str">
            <v>AgPlenus</v>
          </cell>
          <cell r="S2" t="str">
            <v>P21</v>
          </cell>
          <cell r="U2" t="str">
            <v>B10</v>
          </cell>
          <cell r="V2" t="str">
            <v>AgPlenus</v>
          </cell>
          <cell r="AH2">
            <v>3.4</v>
          </cell>
          <cell r="AI2">
            <v>3.4</v>
          </cell>
          <cell r="AJ2">
            <v>3.4</v>
          </cell>
          <cell r="AK2">
            <v>3.4</v>
          </cell>
          <cell r="AL2">
            <v>3.4</v>
          </cell>
          <cell r="AM2">
            <v>3.4</v>
          </cell>
          <cell r="AN2">
            <v>3.4</v>
          </cell>
          <cell r="AO2">
            <v>3.4</v>
          </cell>
          <cell r="AP2">
            <v>3.4</v>
          </cell>
          <cell r="AQ2">
            <v>3.4</v>
          </cell>
          <cell r="AR2">
            <v>3.4</v>
          </cell>
          <cell r="AS2">
            <v>3.4</v>
          </cell>
          <cell r="BN2" t="str">
            <v>E000 - Salary</v>
          </cell>
          <cell r="BT2" t="str">
            <v>Salary</v>
          </cell>
          <cell r="BU2" t="str">
            <v>Salary</v>
          </cell>
          <cell r="BW2">
            <v>0</v>
          </cell>
          <cell r="CG2" t="str">
            <v>Revenues</v>
          </cell>
          <cell r="CH2" t="str">
            <v>00</v>
          </cell>
          <cell r="CQ2" t="str">
            <v>Department number</v>
          </cell>
          <cell r="CR2" t="str">
            <v>Department</v>
          </cell>
          <cell r="CS2" t="str">
            <v>הגדרת תפקיד</v>
          </cell>
          <cell r="CT2" t="str">
            <v xml:space="preserve">שם פרטי </v>
          </cell>
          <cell r="CU2" t="str">
            <v xml:space="preserve">שם משפחה </v>
          </cell>
          <cell r="CV2" t="str">
            <v>ינואר</v>
          </cell>
          <cell r="CW2" t="str">
            <v>פברואר</v>
          </cell>
          <cell r="CX2" t="str">
            <v>מרץ</v>
          </cell>
          <cell r="CY2" t="str">
            <v>אפריל</v>
          </cell>
          <cell r="CZ2" t="str">
            <v>מאי</v>
          </cell>
          <cell r="DA2" t="str">
            <v>יוני</v>
          </cell>
          <cell r="DB2" t="str">
            <v>יולי</v>
          </cell>
          <cell r="DC2" t="str">
            <v>אוגוסט</v>
          </cell>
          <cell r="DD2" t="str">
            <v>ספטמבר</v>
          </cell>
          <cell r="DE2" t="str">
            <v>אוקטובר</v>
          </cell>
          <cell r="DF2" t="str">
            <v>נובמבר</v>
          </cell>
          <cell r="DG2" t="str">
            <v>דצמבר</v>
          </cell>
          <cell r="DH2" t="str">
            <v>סה"כ שנתי  - NIS</v>
          </cell>
        </row>
        <row r="3">
          <cell r="B3">
            <v>302</v>
          </cell>
          <cell r="C3" t="str">
            <v>Ag-Seed BD</v>
          </cell>
          <cell r="P3" t="str">
            <v>Herbicides Corteva</v>
          </cell>
          <cell r="Q3" t="str">
            <v>P210 - Herbicides Corteva</v>
          </cell>
          <cell r="R3" t="str">
            <v>AgPlenus</v>
          </cell>
          <cell r="S3" t="str">
            <v>P210</v>
          </cell>
          <cell r="U3" t="str">
            <v>B20</v>
          </cell>
          <cell r="V3" t="str">
            <v>Lavie Bio</v>
          </cell>
          <cell r="BN3" t="str">
            <v xml:space="preserve">E301 - Capped Patent </v>
          </cell>
          <cell r="BT3" t="str">
            <v>External</v>
          </cell>
          <cell r="BU3" t="str">
            <v>External</v>
          </cell>
          <cell r="BW3">
            <v>0</v>
          </cell>
          <cell r="CG3" t="str">
            <v>COGS</v>
          </cell>
          <cell r="CH3" t="str">
            <v>10</v>
          </cell>
          <cell r="CQ3">
            <v>982</v>
          </cell>
          <cell r="CR3" t="str">
            <v>Canonic Exec.MGMT</v>
          </cell>
          <cell r="CS3" t="str">
            <v>CEO</v>
          </cell>
          <cell r="CT3" t="str">
            <v>ארנון</v>
          </cell>
          <cell r="CU3" t="str">
            <v>היימן</v>
          </cell>
          <cell r="DH3">
            <v>0</v>
          </cell>
        </row>
        <row r="4">
          <cell r="B4">
            <v>301</v>
          </cell>
          <cell r="C4" t="str">
            <v>Ag-Seed Exec. MGMT</v>
          </cell>
          <cell r="P4" t="str">
            <v>Herbicides APTH1</v>
          </cell>
          <cell r="Q4" t="str">
            <v>P211 - Herbicides APTH1</v>
          </cell>
          <cell r="R4" t="str">
            <v>AgPlenus</v>
          </cell>
          <cell r="S4" t="str">
            <v>P211</v>
          </cell>
          <cell r="U4" t="str">
            <v>B30</v>
          </cell>
          <cell r="V4" t="str">
            <v>Ag-Seed</v>
          </cell>
          <cell r="BN4" t="str">
            <v>E302 - Non Capped Patent</v>
          </cell>
          <cell r="BT4" t="str">
            <v>External</v>
          </cell>
          <cell r="BU4" t="str">
            <v>External</v>
          </cell>
          <cell r="BW4">
            <v>0</v>
          </cell>
          <cell r="CG4" t="str">
            <v>RD</v>
          </cell>
          <cell r="CH4" t="str">
            <v>20</v>
          </cell>
        </row>
        <row r="5">
          <cell r="B5">
            <v>303</v>
          </cell>
          <cell r="C5" t="str">
            <v>Ag-Seed PM</v>
          </cell>
          <cell r="P5" t="str">
            <v>Herbicides</v>
          </cell>
          <cell r="Q5" t="str">
            <v>P23 - Herbicides</v>
          </cell>
          <cell r="R5" t="str">
            <v>AgPlenus</v>
          </cell>
          <cell r="S5" t="str">
            <v>P23</v>
          </cell>
          <cell r="U5" t="str">
            <v>B31</v>
          </cell>
          <cell r="V5" t="str">
            <v>Insect-Control</v>
          </cell>
          <cell r="BN5" t="str">
            <v>E999 - External</v>
          </cell>
          <cell r="BT5" t="str">
            <v>External</v>
          </cell>
          <cell r="BU5" t="str">
            <v>External</v>
          </cell>
          <cell r="BW5">
            <v>0</v>
          </cell>
          <cell r="CG5" t="str">
            <v>SM</v>
          </cell>
          <cell r="CH5">
            <v>30</v>
          </cell>
          <cell r="CQ5">
            <v>996</v>
          </cell>
          <cell r="CR5" t="str">
            <v>Canonic BD</v>
          </cell>
          <cell r="CS5" t="str">
            <v>Plant Breeder</v>
          </cell>
          <cell r="CT5" t="str">
            <v>מיכה</v>
          </cell>
          <cell r="CU5" t="str">
            <v>ברוג</v>
          </cell>
          <cell r="CV5">
            <v>31190.979813084141</v>
          </cell>
          <cell r="CW5">
            <v>31190.979813084141</v>
          </cell>
          <cell r="CX5">
            <v>31190.979813084141</v>
          </cell>
          <cell r="CY5">
            <v>31190.979813084141</v>
          </cell>
          <cell r="CZ5">
            <v>31190.979813084141</v>
          </cell>
          <cell r="DA5">
            <v>31190.979813084141</v>
          </cell>
          <cell r="DB5">
            <v>31190.979813084141</v>
          </cell>
          <cell r="DC5">
            <v>31190.979813084141</v>
          </cell>
          <cell r="DD5">
            <v>31190.979813084141</v>
          </cell>
          <cell r="DE5">
            <v>31190.979813084141</v>
          </cell>
          <cell r="DF5">
            <v>31190.979813084141</v>
          </cell>
          <cell r="DG5">
            <v>31190.979813084141</v>
          </cell>
          <cell r="DH5">
            <v>374291.75775700965</v>
          </cell>
        </row>
        <row r="6">
          <cell r="B6">
            <v>202</v>
          </cell>
          <cell r="C6" t="str">
            <v>AgPlenus BD</v>
          </cell>
          <cell r="P6" t="str">
            <v>Fungicides</v>
          </cell>
          <cell r="Q6" t="str">
            <v>P24 - Fungicides</v>
          </cell>
          <cell r="R6" t="str">
            <v>AgPlenus</v>
          </cell>
          <cell r="S6" t="str">
            <v>P24</v>
          </cell>
          <cell r="U6" t="str">
            <v>B32</v>
          </cell>
          <cell r="V6" t="str">
            <v>IP-Legacy</v>
          </cell>
          <cell r="BN6" t="str">
            <v>T101 - Agronomist</v>
          </cell>
          <cell r="BO6" t="str">
            <v>Agronomist FTE annual cost</v>
          </cell>
          <cell r="BP6" t="str">
            <v>B40/22.P997.418.XXX-T101</v>
          </cell>
          <cell r="BQ6" t="str">
            <v>Per annual FTE</v>
          </cell>
          <cell r="BR6" t="str">
            <v>418</v>
          </cell>
          <cell r="BS6" t="str">
            <v>B40</v>
          </cell>
          <cell r="BT6" t="str">
            <v>CPB</v>
          </cell>
          <cell r="BU6" t="str">
            <v>Evogene service</v>
          </cell>
          <cell r="BV6" t="str">
            <v>Period</v>
          </cell>
          <cell r="BW6">
            <v>646.45343382798376</v>
          </cell>
          <cell r="CG6" t="str">
            <v>BD</v>
          </cell>
          <cell r="CH6" t="str">
            <v>50</v>
          </cell>
          <cell r="CQ6">
            <v>981</v>
          </cell>
          <cell r="CR6" t="str">
            <v>Canonic RD</v>
          </cell>
          <cell r="CS6" t="str">
            <v>VP Product</v>
          </cell>
          <cell r="CT6" t="str">
            <v>גיא</v>
          </cell>
          <cell r="CU6" t="str">
            <v>אדלר</v>
          </cell>
          <cell r="CV6">
            <v>40880.338848438696</v>
          </cell>
          <cell r="CW6">
            <v>40880.338848438696</v>
          </cell>
          <cell r="CX6">
            <v>40880.338848438696</v>
          </cell>
          <cell r="CY6">
            <v>40880.338848438696</v>
          </cell>
          <cell r="CZ6">
            <v>40880.338848438696</v>
          </cell>
          <cell r="DA6">
            <v>40880.338848438696</v>
          </cell>
          <cell r="DB6">
            <v>40880.338848438696</v>
          </cell>
          <cell r="DC6">
            <v>40880.338848438696</v>
          </cell>
          <cell r="DD6">
            <v>40880.338848438696</v>
          </cell>
          <cell r="DE6">
            <v>40880.338848438696</v>
          </cell>
          <cell r="DF6">
            <v>40880.338848438696</v>
          </cell>
          <cell r="DG6">
            <v>40880.338848438696</v>
          </cell>
          <cell r="DH6">
            <v>490564.06618126435</v>
          </cell>
        </row>
        <row r="7">
          <cell r="B7">
            <v>201</v>
          </cell>
          <cell r="C7" t="str">
            <v>AgPlenus Exec. MGMT</v>
          </cell>
          <cell r="P7" t="str">
            <v>TcdAB</v>
          </cell>
          <cell r="Q7" t="str">
            <v>P250 - TcdAB</v>
          </cell>
          <cell r="R7" t="str">
            <v>Biomica</v>
          </cell>
          <cell r="S7" t="str">
            <v>P250</v>
          </cell>
          <cell r="U7" t="str">
            <v>B40</v>
          </cell>
          <cell r="V7" t="str">
            <v>CPB</v>
          </cell>
          <cell r="BN7" t="str">
            <v>T102 - Algorithm Developer</v>
          </cell>
          <cell r="BO7" t="str">
            <v>Algorithm Developer FTE annual cost</v>
          </cell>
          <cell r="BP7" t="str">
            <v>B40/22.P997.404.XXX-T102</v>
          </cell>
          <cell r="BQ7" t="str">
            <v>Per annual FTE</v>
          </cell>
          <cell r="BR7" t="str">
            <v>404</v>
          </cell>
          <cell r="BS7" t="str">
            <v>B40</v>
          </cell>
          <cell r="BT7" t="str">
            <v>CPB</v>
          </cell>
          <cell r="BU7" t="str">
            <v>Evogene service</v>
          </cell>
          <cell r="BV7" t="str">
            <v>Period</v>
          </cell>
          <cell r="BW7">
            <v>1026.5096207180043</v>
          </cell>
          <cell r="CG7" t="str">
            <v>GA</v>
          </cell>
          <cell r="CH7" t="str">
            <v>60</v>
          </cell>
          <cell r="CQ7">
            <v>981</v>
          </cell>
          <cell r="CR7" t="str">
            <v>Canonic RD</v>
          </cell>
          <cell r="CS7" t="str">
            <v>chief agronomist</v>
          </cell>
          <cell r="CT7" t="str">
            <v>יונתן</v>
          </cell>
          <cell r="CU7" t="str">
            <v>וגמן</v>
          </cell>
          <cell r="CV7">
            <v>27588.893827875716</v>
          </cell>
          <cell r="CW7">
            <v>27588.893827875716</v>
          </cell>
          <cell r="CX7">
            <v>27588.893827875716</v>
          </cell>
          <cell r="CY7">
            <v>27588.893827875716</v>
          </cell>
          <cell r="CZ7">
            <v>27588.893827875716</v>
          </cell>
          <cell r="DA7">
            <v>27588.893827875716</v>
          </cell>
          <cell r="DB7">
            <v>27588.893827875716</v>
          </cell>
          <cell r="DC7">
            <v>27588.893827875716</v>
          </cell>
          <cell r="DD7">
            <v>27588.893827875716</v>
          </cell>
          <cell r="DE7">
            <v>27588.893827875716</v>
          </cell>
          <cell r="DF7">
            <v>27588.893827875716</v>
          </cell>
          <cell r="DG7">
            <v>27588.893827875716</v>
          </cell>
          <cell r="DH7">
            <v>331066.72593450866</v>
          </cell>
        </row>
        <row r="8">
          <cell r="B8">
            <v>203</v>
          </cell>
          <cell r="C8" t="str">
            <v>AgPlenus PM</v>
          </cell>
          <cell r="P8" t="str">
            <v>MRSA 50S</v>
          </cell>
          <cell r="Q8" t="str">
            <v>P251 - MRSA 50S</v>
          </cell>
          <cell r="R8" t="str">
            <v>Biomica</v>
          </cell>
          <cell r="S8" t="str">
            <v>P251</v>
          </cell>
          <cell r="U8" t="str">
            <v>B41</v>
          </cell>
          <cell r="V8" t="str">
            <v>Phenomics</v>
          </cell>
          <cell r="BN8" t="str">
            <v>T103 - Bioinformatician</v>
          </cell>
          <cell r="BO8" t="str">
            <v>Bioinformatician FTE annual cost</v>
          </cell>
          <cell r="BP8" t="str">
            <v>B40/22.P997.405.XXX-T103</v>
          </cell>
          <cell r="BQ8" t="str">
            <v>Per annual FTE</v>
          </cell>
          <cell r="BR8" t="str">
            <v>405</v>
          </cell>
          <cell r="BS8" t="str">
            <v>B40</v>
          </cell>
          <cell r="BT8" t="str">
            <v>CPB</v>
          </cell>
          <cell r="BU8" t="str">
            <v>Evogene service</v>
          </cell>
          <cell r="BV8" t="str">
            <v>Period</v>
          </cell>
          <cell r="BW8">
            <v>854.45565710605922</v>
          </cell>
          <cell r="CG8" t="str">
            <v>Financial Inc/Exp</v>
          </cell>
          <cell r="CH8" t="str">
            <v>70</v>
          </cell>
          <cell r="CQ8">
            <v>981</v>
          </cell>
          <cell r="CR8" t="str">
            <v>Canonic RD</v>
          </cell>
          <cell r="CS8" t="str">
            <v>Propagation agronomist</v>
          </cell>
          <cell r="CT8" t="str">
            <v>עידו</v>
          </cell>
          <cell r="CU8" t="str">
            <v>זינגר</v>
          </cell>
          <cell r="CV8">
            <v>19336.235799375481</v>
          </cell>
          <cell r="CW8">
            <v>19336.235799375481</v>
          </cell>
          <cell r="CX8">
            <v>19336.235799375481</v>
          </cell>
          <cell r="CY8">
            <v>19336.235799375481</v>
          </cell>
          <cell r="CZ8">
            <v>19336.235799375481</v>
          </cell>
          <cell r="DA8">
            <v>19336.235799375481</v>
          </cell>
          <cell r="DB8">
            <v>19336.235799375481</v>
          </cell>
          <cell r="DC8">
            <v>19336.235799375481</v>
          </cell>
          <cell r="DD8">
            <v>19336.235799375481</v>
          </cell>
          <cell r="DE8">
            <v>19336.235799375481</v>
          </cell>
          <cell r="DF8">
            <v>19336.235799375481</v>
          </cell>
          <cell r="DG8">
            <v>19336.235799375481</v>
          </cell>
          <cell r="DH8">
            <v>232034.82959250579</v>
          </cell>
        </row>
        <row r="9">
          <cell r="B9">
            <v>205</v>
          </cell>
          <cell r="C9" t="str">
            <v>AgPlenus RD</v>
          </cell>
          <cell r="P9" t="str">
            <v>Cancer Immun adjuvant</v>
          </cell>
          <cell r="Q9" t="str">
            <v>P252 - Cancer Immun adjuvant</v>
          </cell>
          <cell r="R9" t="str">
            <v>Biomica</v>
          </cell>
          <cell r="S9" t="str">
            <v>P252</v>
          </cell>
          <cell r="U9" t="str">
            <v>B42</v>
          </cell>
          <cell r="V9" t="str">
            <v>CrisperIL</v>
          </cell>
          <cell r="BN9" t="str">
            <v>T104 - Data Gathering</v>
          </cell>
          <cell r="BO9" t="str">
            <v>Data Gathering FTE annual cost</v>
          </cell>
          <cell r="BP9" t="str">
            <v>B40/22.P997.411.XXX-T104</v>
          </cell>
          <cell r="BQ9" t="str">
            <v>Per annual FTE</v>
          </cell>
          <cell r="BR9" t="str">
            <v>411</v>
          </cell>
          <cell r="BS9" t="str">
            <v>B40</v>
          </cell>
          <cell r="BT9" t="str">
            <v>CPB</v>
          </cell>
          <cell r="BU9" t="str">
            <v>Evogene service</v>
          </cell>
          <cell r="BV9" t="str">
            <v>Period</v>
          </cell>
          <cell r="BW9">
            <v>538.97386395126284</v>
          </cell>
          <cell r="CG9" t="str">
            <v>Grants refundable</v>
          </cell>
          <cell r="CH9" t="str">
            <v>90</v>
          </cell>
          <cell r="CQ9">
            <v>981</v>
          </cell>
          <cell r="CR9" t="str">
            <v>Canonic RD</v>
          </cell>
          <cell r="CS9" t="str">
            <v>Marketing &amp; Sales Manager</v>
          </cell>
          <cell r="CT9" t="str">
            <v>ילנה</v>
          </cell>
          <cell r="CU9" t="str">
            <v>חולי</v>
          </cell>
          <cell r="CV9">
            <v>39764.960035417636</v>
          </cell>
          <cell r="CW9">
            <v>39764.960035417636</v>
          </cell>
          <cell r="CX9">
            <v>39764.960035417636</v>
          </cell>
          <cell r="CY9">
            <v>39764.960035417636</v>
          </cell>
          <cell r="CZ9">
            <v>39764.960035417636</v>
          </cell>
          <cell r="DA9">
            <v>39764.960035417636</v>
          </cell>
          <cell r="DB9">
            <v>39764.960035417636</v>
          </cell>
          <cell r="DC9">
            <v>39764.960035417636</v>
          </cell>
          <cell r="DD9">
            <v>39764.960035417636</v>
          </cell>
          <cell r="DE9">
            <v>39764.960035417636</v>
          </cell>
          <cell r="DF9">
            <v>39764.960035417636</v>
          </cell>
          <cell r="DG9">
            <v>39764.960035417636</v>
          </cell>
          <cell r="DH9">
            <v>477179.52042501164</v>
          </cell>
        </row>
        <row r="10">
          <cell r="B10">
            <v>404</v>
          </cell>
          <cell r="C10" t="str">
            <v>Algorithm</v>
          </cell>
          <cell r="P10" t="str">
            <v>IBS</v>
          </cell>
          <cell r="Q10" t="str">
            <v>P254 - IBS</v>
          </cell>
          <cell r="R10" t="str">
            <v>Biomica</v>
          </cell>
          <cell r="S10" t="str">
            <v>P254</v>
          </cell>
          <cell r="U10" t="str">
            <v>B50</v>
          </cell>
          <cell r="V10" t="str">
            <v>CPBL</v>
          </cell>
          <cell r="BN10" t="str">
            <v>T105 - DevOps</v>
          </cell>
          <cell r="BO10" t="str">
            <v>DevOps FTE annual cost</v>
          </cell>
          <cell r="BP10" t="str">
            <v>B40/22.P997.420.XXX-T105</v>
          </cell>
          <cell r="BQ10" t="str">
            <v>Per annual FTE</v>
          </cell>
          <cell r="BR10" t="str">
            <v>420</v>
          </cell>
          <cell r="BS10" t="str">
            <v>B40</v>
          </cell>
          <cell r="BT10" t="str">
            <v>CPB</v>
          </cell>
          <cell r="BU10" t="str">
            <v>Evogene service</v>
          </cell>
          <cell r="BV10" t="str">
            <v>Period</v>
          </cell>
          <cell r="BW10">
            <v>1074.8754271426164</v>
          </cell>
          <cell r="CG10" t="str">
            <v>CAPEX</v>
          </cell>
          <cell r="CH10" t="str">
            <v>95</v>
          </cell>
          <cell r="CQ10">
            <v>981</v>
          </cell>
          <cell r="CR10" t="str">
            <v>Canonic RD</v>
          </cell>
          <cell r="CS10" t="str">
            <v>Technician</v>
          </cell>
          <cell r="CT10" t="str">
            <v>אור</v>
          </cell>
          <cell r="CU10" t="str">
            <v>הרירי</v>
          </cell>
          <cell r="CV10">
            <v>17250.416112250423</v>
          </cell>
          <cell r="CW10">
            <v>17250.416112250423</v>
          </cell>
          <cell r="CX10">
            <v>17250.416112250423</v>
          </cell>
          <cell r="CY10">
            <v>17250.416112250423</v>
          </cell>
          <cell r="CZ10">
            <v>17250.416112250423</v>
          </cell>
          <cell r="DA10">
            <v>17250.416112250423</v>
          </cell>
          <cell r="DB10">
            <v>17250.416112250423</v>
          </cell>
          <cell r="DC10">
            <v>17250.416112250423</v>
          </cell>
          <cell r="DD10">
            <v>17250.416112250423</v>
          </cell>
          <cell r="DE10">
            <v>17250.416112250423</v>
          </cell>
          <cell r="DF10">
            <v>17250.416112250423</v>
          </cell>
          <cell r="DG10">
            <v>17250.416112250423</v>
          </cell>
          <cell r="DH10">
            <v>207004.99334700502</v>
          </cell>
        </row>
        <row r="11">
          <cell r="B11">
            <v>405</v>
          </cell>
          <cell r="C11" t="str">
            <v>Bioinformatics</v>
          </cell>
          <cell r="P11" t="str">
            <v>IBD</v>
          </cell>
          <cell r="Q11" t="str">
            <v>P255 - IBD</v>
          </cell>
          <cell r="R11" t="str">
            <v>Biomica</v>
          </cell>
          <cell r="S11" t="str">
            <v>P255</v>
          </cell>
          <cell r="U11" t="str">
            <v>B55</v>
          </cell>
          <cell r="V11" t="str">
            <v>CSO</v>
          </cell>
          <cell r="BN11" t="str">
            <v>T106 - Molecular Biologist</v>
          </cell>
          <cell r="BO11" t="str">
            <v>Molecular Biologist FTE annual cost</v>
          </cell>
          <cell r="BP11" t="str">
            <v>B40/22.P997.413.XXX-T106</v>
          </cell>
          <cell r="BQ11" t="str">
            <v>Per annual FTE</v>
          </cell>
          <cell r="BR11" t="str">
            <v>413</v>
          </cell>
          <cell r="BS11" t="str">
            <v>B40</v>
          </cell>
          <cell r="BT11" t="str">
            <v>CPB</v>
          </cell>
          <cell r="BU11" t="str">
            <v>Evogene service</v>
          </cell>
          <cell r="BV11" t="str">
            <v>Period</v>
          </cell>
          <cell r="BW11">
            <v>615.12719379966495</v>
          </cell>
          <cell r="CG11" t="str">
            <v>Cash Adjusments</v>
          </cell>
          <cell r="CH11" t="str">
            <v>96</v>
          </cell>
          <cell r="CQ11">
            <v>996</v>
          </cell>
          <cell r="CR11" t="str">
            <v>Canonic BD</v>
          </cell>
          <cell r="CS11" t="str">
            <v>Breeder Assistant</v>
          </cell>
          <cell r="CT11" t="str">
            <v>יפית</v>
          </cell>
          <cell r="CU11" t="str">
            <v>סוגס</v>
          </cell>
          <cell r="CV11">
            <v>17121.027112250424</v>
          </cell>
          <cell r="CW11">
            <v>17121.027112250424</v>
          </cell>
          <cell r="CX11">
            <v>17121.027112250424</v>
          </cell>
          <cell r="CY11">
            <v>17121.027112250424</v>
          </cell>
          <cell r="CZ11">
            <v>17121.027112250424</v>
          </cell>
          <cell r="DA11">
            <v>17121.027112250424</v>
          </cell>
          <cell r="DB11">
            <v>17121.027112250424</v>
          </cell>
          <cell r="DC11">
            <v>17121.027112250424</v>
          </cell>
          <cell r="DD11">
            <v>17121.027112250424</v>
          </cell>
          <cell r="DE11">
            <v>17121.027112250424</v>
          </cell>
          <cell r="DF11">
            <v>17121.027112250424</v>
          </cell>
          <cell r="DG11">
            <v>17121.027112250424</v>
          </cell>
          <cell r="DH11">
            <v>205452.32534700507</v>
          </cell>
        </row>
        <row r="12">
          <cell r="B12">
            <v>995</v>
          </cell>
          <cell r="C12" t="str">
            <v>Biomica BD</v>
          </cell>
          <cell r="P12" t="str">
            <v>Infrastructure</v>
          </cell>
          <cell r="Q12" t="str">
            <v>P257 - Infrastructure</v>
          </cell>
          <cell r="R12" t="str">
            <v>Biomica</v>
          </cell>
          <cell r="S12" t="str">
            <v>P257</v>
          </cell>
          <cell r="U12" t="str">
            <v>B70</v>
          </cell>
          <cell r="V12" t="str">
            <v>Biomica</v>
          </cell>
          <cell r="BN12" t="str">
            <v>T107 - Phytopatologist</v>
          </cell>
          <cell r="BO12" t="str">
            <v>Phytopatologist FTE annual cost</v>
          </cell>
          <cell r="BP12" t="str">
            <v>B40/22.P997.415.XXX-T107</v>
          </cell>
          <cell r="BQ12" t="str">
            <v>Per annual FTE</v>
          </cell>
          <cell r="BR12" t="str">
            <v>415</v>
          </cell>
          <cell r="BS12" t="str">
            <v>B40</v>
          </cell>
          <cell r="BT12" t="str">
            <v>CPB</v>
          </cell>
          <cell r="BU12" t="str">
            <v>Evogene service</v>
          </cell>
          <cell r="BV12" t="str">
            <v>Period</v>
          </cell>
          <cell r="BW12">
            <v>523.54476488960313</v>
          </cell>
          <cell r="CG12" t="str">
            <v xml:space="preserve">Inventory </v>
          </cell>
          <cell r="CH12">
            <v>40</v>
          </cell>
          <cell r="CQ12">
            <v>601</v>
          </cell>
          <cell r="CR12" t="str">
            <v>BD</v>
          </cell>
          <cell r="CS12" t="str">
            <v>EVP BD</v>
          </cell>
          <cell r="CT12" t="str">
            <v>אייל</v>
          </cell>
          <cell r="CU12" t="str">
            <v>רונן</v>
          </cell>
          <cell r="CV12">
            <v>75700</v>
          </cell>
          <cell r="CW12">
            <v>75700.203388632508</v>
          </cell>
          <cell r="CX12">
            <v>75700.203388632508</v>
          </cell>
          <cell r="CY12">
            <v>75700.203388632508</v>
          </cell>
          <cell r="CZ12">
            <v>75700.203388632508</v>
          </cell>
          <cell r="DA12">
            <v>75700.203388632508</v>
          </cell>
          <cell r="DB12">
            <v>75700.203388632508</v>
          </cell>
          <cell r="DC12">
            <v>75700.203388632508</v>
          </cell>
          <cell r="DD12">
            <v>75700.203388632508</v>
          </cell>
          <cell r="DE12">
            <v>75700.203388632508</v>
          </cell>
          <cell r="DF12">
            <v>75700.203388632508</v>
          </cell>
          <cell r="DG12">
            <v>75700.203388632508</v>
          </cell>
          <cell r="DH12">
            <v>908402.23727495759</v>
          </cell>
        </row>
        <row r="13">
          <cell r="B13">
            <v>207</v>
          </cell>
          <cell r="C13" t="str">
            <v>Biomica CSO</v>
          </cell>
          <cell r="P13" t="str">
            <v>Breeding general</v>
          </cell>
          <cell r="Q13" t="str">
            <v>P197 - Breeding general</v>
          </cell>
          <cell r="R13" t="str">
            <v>Canonic</v>
          </cell>
          <cell r="S13" t="str">
            <v>P197</v>
          </cell>
          <cell r="U13" t="str">
            <v>B72</v>
          </cell>
          <cell r="V13" t="str">
            <v>Casterra</v>
          </cell>
          <cell r="BN13" t="str">
            <v>T108 - PLM</v>
          </cell>
          <cell r="BO13" t="str">
            <v>PLM FTE annual cost</v>
          </cell>
          <cell r="BP13" t="str">
            <v>B40/22.P997.412.XXX-T108</v>
          </cell>
          <cell r="BQ13" t="str">
            <v>Per annual FTE</v>
          </cell>
          <cell r="BR13" t="str">
            <v>412</v>
          </cell>
          <cell r="BS13" t="str">
            <v>B40</v>
          </cell>
          <cell r="BT13" t="str">
            <v>CPB</v>
          </cell>
          <cell r="BU13" t="str">
            <v>Evogene service</v>
          </cell>
          <cell r="BV13" t="str">
            <v>Period</v>
          </cell>
          <cell r="BW13">
            <v>568.75740332391092</v>
          </cell>
          <cell r="CQ13">
            <v>996</v>
          </cell>
          <cell r="CR13" t="str">
            <v>Canonic BD</v>
          </cell>
          <cell r="CS13" t="str">
            <v>Sales Representative</v>
          </cell>
          <cell r="CT13" t="str">
            <v>אלי</v>
          </cell>
          <cell r="CU13" t="str">
            <v>אזולאי</v>
          </cell>
          <cell r="CV13">
            <v>30651.172620750658</v>
          </cell>
          <cell r="CW13">
            <v>30651.172620750658</v>
          </cell>
          <cell r="CX13">
            <v>30651.172620750658</v>
          </cell>
          <cell r="CY13">
            <v>30651.172620750658</v>
          </cell>
          <cell r="CZ13">
            <v>30651.172620750658</v>
          </cell>
          <cell r="DA13">
            <v>30651.172620750658</v>
          </cell>
          <cell r="DB13">
            <v>30651.172620750658</v>
          </cell>
          <cell r="DC13">
            <v>30651.172620750658</v>
          </cell>
          <cell r="DD13">
            <v>30651.172620750658</v>
          </cell>
          <cell r="DE13">
            <v>30651.172620750658</v>
          </cell>
          <cell r="DF13">
            <v>30651.172620750658</v>
          </cell>
          <cell r="DG13">
            <v>30651.172620750658</v>
          </cell>
          <cell r="DH13">
            <v>367814.07144900801</v>
          </cell>
        </row>
        <row r="14">
          <cell r="B14">
            <v>994</v>
          </cell>
          <cell r="C14" t="str">
            <v>Biomica Exec. MGMT</v>
          </cell>
          <cell r="P14" t="str">
            <v xml:space="preserve">Breeding -MG </v>
          </cell>
          <cell r="Q14" t="str">
            <v xml:space="preserve">P198 - Breeding -MG </v>
          </cell>
          <cell r="R14" t="str">
            <v>Canonic</v>
          </cell>
          <cell r="S14" t="str">
            <v>P198</v>
          </cell>
          <cell r="U14" t="str">
            <v>B74</v>
          </cell>
          <cell r="V14" t="str">
            <v>Canonic</v>
          </cell>
          <cell r="BN14" t="str">
            <v>T109 - Product Manager</v>
          </cell>
          <cell r="BO14" t="str">
            <v>Product Manager FTE annual cost</v>
          </cell>
          <cell r="BP14" t="str">
            <v>B55/22.P997.427.XXX-T109</v>
          </cell>
          <cell r="BQ14" t="str">
            <v>Per annual FTE</v>
          </cell>
          <cell r="BR14" t="str">
            <v>427</v>
          </cell>
          <cell r="BS14" t="str">
            <v>B55</v>
          </cell>
          <cell r="BT14" t="str">
            <v>CPB</v>
          </cell>
          <cell r="BU14" t="str">
            <v>Evogene service</v>
          </cell>
          <cell r="BV14" t="str">
            <v>Period</v>
          </cell>
          <cell r="BW14">
            <v>827.44320670591105</v>
          </cell>
          <cell r="DH14">
            <v>3593810.5273082759</v>
          </cell>
        </row>
        <row r="15">
          <cell r="B15">
            <v>206</v>
          </cell>
          <cell r="C15" t="str">
            <v>Biomica Lab</v>
          </cell>
          <cell r="P15" t="str">
            <v>Core collection &amp; Database</v>
          </cell>
          <cell r="Q15" t="str">
            <v>P199 - Core collection &amp; Database</v>
          </cell>
          <cell r="R15" t="str">
            <v>Canonic</v>
          </cell>
          <cell r="S15" t="str">
            <v>P199</v>
          </cell>
          <cell r="U15" t="str">
            <v>B90</v>
          </cell>
          <cell r="V15" t="str">
            <v>Corporate</v>
          </cell>
          <cell r="BN15" t="str">
            <v>T110 - Project Manager</v>
          </cell>
          <cell r="BO15" t="str">
            <v>Project Manager FTE annual cost</v>
          </cell>
          <cell r="BP15" t="str">
            <v>B40/22.P997.426.XXX-T110</v>
          </cell>
          <cell r="BQ15" t="str">
            <v>Per annual FTE</v>
          </cell>
          <cell r="BR15" t="str">
            <v>426</v>
          </cell>
          <cell r="BS15" t="str">
            <v>B40</v>
          </cell>
          <cell r="BT15" t="str">
            <v>CPB</v>
          </cell>
          <cell r="BU15" t="str">
            <v>Evogene service</v>
          </cell>
          <cell r="BV15" t="str">
            <v>Period</v>
          </cell>
          <cell r="BW15">
            <v>0</v>
          </cell>
        </row>
        <row r="16">
          <cell r="B16">
            <v>999</v>
          </cell>
          <cell r="C16" t="str">
            <v>Biomica RD</v>
          </cell>
          <cell r="P16" t="str">
            <v>Product development</v>
          </cell>
          <cell r="Q16" t="str">
            <v>P205 - Product development</v>
          </cell>
          <cell r="R16" t="str">
            <v>Canonic</v>
          </cell>
          <cell r="S16" t="str">
            <v>P205</v>
          </cell>
          <cell r="BN16" t="str">
            <v>T111 - Seedbank</v>
          </cell>
          <cell r="BO16" t="str">
            <v>Seedbank FTE annual cost</v>
          </cell>
          <cell r="BP16" t="str">
            <v>B40/22.P997.418.XXX-T111</v>
          </cell>
          <cell r="BQ16" t="str">
            <v>Per annual FTE</v>
          </cell>
          <cell r="BR16" t="str">
            <v>418</v>
          </cell>
          <cell r="BS16" t="str">
            <v>B40</v>
          </cell>
          <cell r="BT16" t="str">
            <v>CPB</v>
          </cell>
          <cell r="BU16" t="str">
            <v>Evogene service</v>
          </cell>
          <cell r="BV16" t="str">
            <v>Period</v>
          </cell>
          <cell r="BW16">
            <v>0</v>
          </cell>
        </row>
        <row r="17">
          <cell r="B17">
            <v>422</v>
          </cell>
          <cell r="C17" t="str">
            <v>CPB Directors</v>
          </cell>
          <cell r="P17" t="str">
            <v>Computational Dev</v>
          </cell>
          <cell r="Q17" t="str">
            <v>P209 - Computational Dev</v>
          </cell>
          <cell r="R17" t="str">
            <v>Canonic</v>
          </cell>
          <cell r="S17" t="str">
            <v>P209</v>
          </cell>
          <cell r="BN17" t="str">
            <v>T112 - Software Developer</v>
          </cell>
          <cell r="BO17" t="str">
            <v>Software Developer FTE annual cost</v>
          </cell>
          <cell r="BP17" t="str">
            <v>B40/22.P997.406.XXX-T112</v>
          </cell>
          <cell r="BQ17" t="str">
            <v>Per annual FTE</v>
          </cell>
          <cell r="BR17" t="str">
            <v>406</v>
          </cell>
          <cell r="BS17" t="str">
            <v>B40</v>
          </cell>
          <cell r="BT17" t="str">
            <v>CPB</v>
          </cell>
          <cell r="BU17" t="str">
            <v>Evogene service</v>
          </cell>
          <cell r="BV17" t="str">
            <v>Period</v>
          </cell>
          <cell r="BW17">
            <v>1020.572214722201</v>
          </cell>
        </row>
        <row r="18">
          <cell r="B18">
            <v>401</v>
          </cell>
          <cell r="C18" t="str">
            <v>CPB Exec. MGMT</v>
          </cell>
          <cell r="P18" t="str">
            <v>Propagation general</v>
          </cell>
          <cell r="Q18" t="str">
            <v>P212 - Propagation general</v>
          </cell>
          <cell r="R18" t="str">
            <v>Canonic</v>
          </cell>
          <cell r="S18" t="str">
            <v>P212</v>
          </cell>
          <cell r="BN18" t="str">
            <v>T113 - Tissue Biologist</v>
          </cell>
          <cell r="BO18" t="str">
            <v>Tissue Biologist FTE annual cost</v>
          </cell>
          <cell r="BP18" t="str">
            <v>B40/22.P997.416.XXX-T113</v>
          </cell>
          <cell r="BQ18" t="str">
            <v>Per annual FTE</v>
          </cell>
          <cell r="BR18" t="str">
            <v>416</v>
          </cell>
          <cell r="BS18" t="str">
            <v>B40</v>
          </cell>
          <cell r="BT18" t="str">
            <v>CPB</v>
          </cell>
          <cell r="BU18" t="str">
            <v>Evogene service</v>
          </cell>
          <cell r="BV18" t="str">
            <v>Period</v>
          </cell>
          <cell r="BW18">
            <v>604.21798980735002</v>
          </cell>
          <cell r="CP18" t="str">
            <v xml:space="preserve">שם פרטי  שם משפחה </v>
          </cell>
          <cell r="CQ18" t="str">
            <v>Department number</v>
          </cell>
          <cell r="CR18" t="str">
            <v>Department</v>
          </cell>
          <cell r="CS18" t="str">
            <v>הגדרת תפקיד</v>
          </cell>
          <cell r="CT18" t="str">
            <v xml:space="preserve">שם פרטי </v>
          </cell>
          <cell r="CU18" t="str">
            <v xml:space="preserve">שם משפחה </v>
          </cell>
          <cell r="CV18" t="str">
            <v>ינואר</v>
          </cell>
          <cell r="CW18" t="str">
            <v>פברואר</v>
          </cell>
          <cell r="CX18" t="str">
            <v>מרץ</v>
          </cell>
          <cell r="CY18" t="str">
            <v>אפריל</v>
          </cell>
          <cell r="CZ18" t="str">
            <v>מאי</v>
          </cell>
          <cell r="DA18" t="str">
            <v>יוני</v>
          </cell>
          <cell r="DB18" t="str">
            <v>יולי</v>
          </cell>
          <cell r="DC18" t="str">
            <v>אוגוסט</v>
          </cell>
          <cell r="DD18" t="str">
            <v>ספטמבר</v>
          </cell>
          <cell r="DE18" t="str">
            <v>אוקטובר</v>
          </cell>
          <cell r="DF18" t="str">
            <v>נובמבר</v>
          </cell>
          <cell r="DG18" t="str">
            <v>דצמבר</v>
          </cell>
          <cell r="DH18" t="str">
            <v>סה"כ שנתי  - USD</v>
          </cell>
        </row>
        <row r="19">
          <cell r="B19">
            <v>990</v>
          </cell>
          <cell r="C19" t="str">
            <v>Canonic COGS</v>
          </cell>
          <cell r="P19" t="str">
            <v xml:space="preserve">Breeding general </v>
          </cell>
          <cell r="Q19" t="str">
            <v xml:space="preserve">P213 - Breeding general </v>
          </cell>
          <cell r="R19" t="str">
            <v>Canonic</v>
          </cell>
          <cell r="S19" t="str">
            <v>P213</v>
          </cell>
          <cell r="BN19" t="str">
            <v>T114 - Hourly Student</v>
          </cell>
          <cell r="BO19" t="str">
            <v>Hourly Student FTE annual cost</v>
          </cell>
          <cell r="BQ19" t="str">
            <v>Per annual FTE</v>
          </cell>
          <cell r="BR19" t="str">
            <v>418</v>
          </cell>
          <cell r="BS19" t="str">
            <v>B40</v>
          </cell>
          <cell r="BT19" t="str">
            <v>External</v>
          </cell>
          <cell r="BU19" t="str">
            <v>External</v>
          </cell>
          <cell r="BV19" t="str">
            <v>Period</v>
          </cell>
          <cell r="BW19">
            <v>172.72727272727272</v>
          </cell>
          <cell r="CP19" t="str">
            <v>ארנון היימן</v>
          </cell>
          <cell r="CQ19">
            <v>982</v>
          </cell>
          <cell r="CR19" t="str">
            <v>Canonic Exec.MGMT</v>
          </cell>
          <cell r="CS19" t="str">
            <v>CEO</v>
          </cell>
          <cell r="CT19" t="str">
            <v>ארנון</v>
          </cell>
          <cell r="CU19" t="str">
            <v>היימן</v>
          </cell>
          <cell r="CV19">
            <v>0</v>
          </cell>
          <cell r="CW19">
            <v>0</v>
          </cell>
          <cell r="CX19">
            <v>0</v>
          </cell>
          <cell r="CY19">
            <v>0</v>
          </cell>
          <cell r="CZ19">
            <v>0</v>
          </cell>
          <cell r="DA19">
            <v>0</v>
          </cell>
          <cell r="DB19">
            <v>0</v>
          </cell>
          <cell r="DC19">
            <v>0</v>
          </cell>
          <cell r="DD19">
            <v>0</v>
          </cell>
          <cell r="DE19">
            <v>0</v>
          </cell>
          <cell r="DF19">
            <v>0</v>
          </cell>
          <cell r="DG19">
            <v>0</v>
          </cell>
          <cell r="DH19">
            <v>0</v>
          </cell>
        </row>
        <row r="20">
          <cell r="B20">
            <v>996</v>
          </cell>
          <cell r="C20" t="str">
            <v>Canonic BD</v>
          </cell>
          <cell r="P20" t="str">
            <v xml:space="preserve">Farm operations </v>
          </cell>
          <cell r="Q20" t="str">
            <v xml:space="preserve">P214 - Farm operations </v>
          </cell>
          <cell r="R20" t="str">
            <v>Canonic</v>
          </cell>
          <cell r="S20" t="str">
            <v>P214</v>
          </cell>
          <cell r="BN20" t="str">
            <v>T115 - System Architect</v>
          </cell>
          <cell r="BW20">
            <v>1237.1964239733679</v>
          </cell>
          <cell r="CP20" t="str">
            <v>זיו חלמיש</v>
          </cell>
          <cell r="CQ20">
            <v>418</v>
          </cell>
          <cell r="CR20" t="str">
            <v>Plant Growth</v>
          </cell>
          <cell r="CS20" t="str">
            <v>Director of Greenhouse Research Center</v>
          </cell>
          <cell r="CT20" t="str">
            <v>זיו</v>
          </cell>
          <cell r="CU20" t="str">
            <v>חלמיש</v>
          </cell>
          <cell r="CX20">
            <v>11122.135843897318</v>
          </cell>
          <cell r="CY20">
            <v>11122.135843897318</v>
          </cell>
          <cell r="CZ20">
            <v>11122.135843897318</v>
          </cell>
          <cell r="DA20">
            <v>11122.135843897318</v>
          </cell>
          <cell r="DB20">
            <v>11122.135843897318</v>
          </cell>
          <cell r="DC20">
            <v>11122.135843897318</v>
          </cell>
          <cell r="DD20">
            <v>11122.135843897318</v>
          </cell>
          <cell r="DE20">
            <v>11122.135843897318</v>
          </cell>
          <cell r="DF20">
            <v>11122.135843897318</v>
          </cell>
          <cell r="DG20">
            <v>11122.135843897318</v>
          </cell>
          <cell r="DH20">
            <v>111221.3584389732</v>
          </cell>
        </row>
        <row r="21">
          <cell r="B21">
            <v>982</v>
          </cell>
          <cell r="C21" t="str">
            <v>Canonic Exec.MGMT</v>
          </cell>
          <cell r="P21" t="str">
            <v>CAPEX</v>
          </cell>
          <cell r="Q21" t="str">
            <v>P215 - CAPEX</v>
          </cell>
          <cell r="R21" t="str">
            <v>Canonic</v>
          </cell>
          <cell r="S21" t="str">
            <v>P215</v>
          </cell>
          <cell r="BN21" t="str">
            <v>T201 - Data Package</v>
          </cell>
          <cell r="BO21" t="str">
            <v>Data Package Fixed cost</v>
          </cell>
          <cell r="BP21" t="str">
            <v>B40/22.P271.422.XXX-T201</v>
          </cell>
          <cell r="BQ21" t="str">
            <v>Fixed - Specific</v>
          </cell>
          <cell r="BR21" t="str">
            <v>422</v>
          </cell>
          <cell r="BS21" t="str">
            <v>B40</v>
          </cell>
          <cell r="BT21" t="str">
            <v>CPB</v>
          </cell>
          <cell r="BU21" t="str">
            <v>Evogene service</v>
          </cell>
          <cell r="BV21" t="str">
            <v>Period</v>
          </cell>
          <cell r="BW21">
            <v>0</v>
          </cell>
          <cell r="CP21" t="str">
            <v>מיכה ברוג</v>
          </cell>
          <cell r="CQ21">
            <v>996</v>
          </cell>
          <cell r="CR21" t="str">
            <v>Canonic BD</v>
          </cell>
          <cell r="CS21" t="str">
            <v>Plant Breeder</v>
          </cell>
          <cell r="CT21" t="str">
            <v>מיכה</v>
          </cell>
          <cell r="CU21" t="str">
            <v>ברוג</v>
          </cell>
          <cell r="CV21">
            <v>9173.8175920835711</v>
          </cell>
          <cell r="CW21">
            <v>9173.8175920835711</v>
          </cell>
          <cell r="CX21">
            <v>9173.8175920835711</v>
          </cell>
          <cell r="CY21">
            <v>9173.8175920835711</v>
          </cell>
          <cell r="CZ21">
            <v>9173.8175920835711</v>
          </cell>
          <cell r="DA21">
            <v>9173.8175920835711</v>
          </cell>
          <cell r="DB21">
            <v>9173.8175920835711</v>
          </cell>
          <cell r="DC21">
            <v>9173.8175920835711</v>
          </cell>
          <cell r="DD21">
            <v>9173.8175920835711</v>
          </cell>
          <cell r="DE21">
            <v>9173.8175920835711</v>
          </cell>
          <cell r="DF21">
            <v>9173.8175920835711</v>
          </cell>
          <cell r="DG21">
            <v>9173.8175920835711</v>
          </cell>
          <cell r="DH21">
            <v>110085.81110500282</v>
          </cell>
        </row>
        <row r="22">
          <cell r="B22">
            <v>981</v>
          </cell>
          <cell r="C22" t="str">
            <v>Canonic RD</v>
          </cell>
          <cell r="P22" t="str">
            <v xml:space="preserve">Core collection &amp; Data base </v>
          </cell>
          <cell r="Q22" t="str">
            <v xml:space="preserve">P216 - Core collection &amp; Data base </v>
          </cell>
          <cell r="R22" t="str">
            <v>Canonic</v>
          </cell>
          <cell r="S22" t="str">
            <v>P216</v>
          </cell>
          <cell r="BN22" t="str">
            <v>T202 - Genes Package</v>
          </cell>
          <cell r="BO22" t="str">
            <v>Genes Package Fixed cost</v>
          </cell>
          <cell r="BP22" t="str">
            <v>B40/22.P272.422.XXX-T202</v>
          </cell>
          <cell r="BQ22" t="str">
            <v>Fixed - Specific</v>
          </cell>
          <cell r="BR22" t="str">
            <v>422</v>
          </cell>
          <cell r="BS22" t="str">
            <v>B40</v>
          </cell>
          <cell r="BT22" t="str">
            <v>CPB</v>
          </cell>
          <cell r="BU22" t="str">
            <v>Evogene service</v>
          </cell>
          <cell r="BV22" t="str">
            <v>Period</v>
          </cell>
          <cell r="BW22">
            <v>0</v>
          </cell>
          <cell r="CP22" t="str">
            <v>גיא אדלר</v>
          </cell>
          <cell r="CQ22">
            <v>981</v>
          </cell>
          <cell r="CR22" t="str">
            <v>Canonic RD</v>
          </cell>
          <cell r="CS22" t="str">
            <v>VP Product</v>
          </cell>
          <cell r="CT22" t="str">
            <v>גיא</v>
          </cell>
          <cell r="CU22" t="str">
            <v>אדלר</v>
          </cell>
          <cell r="CV22">
            <v>12023.629073070206</v>
          </cell>
          <cell r="CW22">
            <v>12023.629073070206</v>
          </cell>
          <cell r="CX22">
            <v>12023.629073070206</v>
          </cell>
          <cell r="DH22">
            <v>36070.887219210621</v>
          </cell>
        </row>
        <row r="23">
          <cell r="B23">
            <v>993</v>
          </cell>
          <cell r="C23" t="str">
            <v>Casterra BD</v>
          </cell>
          <cell r="P23" t="str">
            <v>working capital</v>
          </cell>
          <cell r="Q23" t="str">
            <v>P217 - working capital</v>
          </cell>
          <cell r="R23" t="str">
            <v>Canonic</v>
          </cell>
          <cell r="S23" t="str">
            <v>P217</v>
          </cell>
          <cell r="BN23" t="str">
            <v>T203 - Microbes Package</v>
          </cell>
          <cell r="BO23" t="str">
            <v>Microbes Package Fixed cost</v>
          </cell>
          <cell r="BP23" t="str">
            <v>B40/22.P273.422.XXX-T203</v>
          </cell>
          <cell r="BQ23" t="str">
            <v>Fixed - Specific</v>
          </cell>
          <cell r="BR23" t="str">
            <v>422</v>
          </cell>
          <cell r="BS23" t="str">
            <v>B40</v>
          </cell>
          <cell r="BT23" t="str">
            <v>CPB</v>
          </cell>
          <cell r="BU23" t="str">
            <v>Evogene service</v>
          </cell>
          <cell r="BV23" t="str">
            <v>Period</v>
          </cell>
          <cell r="BW23">
            <v>0</v>
          </cell>
          <cell r="CP23" t="str">
            <v>יונתן וגמן</v>
          </cell>
          <cell r="CQ23">
            <v>981</v>
          </cell>
          <cell r="CR23" t="str">
            <v>Canonic RD</v>
          </cell>
          <cell r="CS23" t="str">
            <v>chief agronomist</v>
          </cell>
          <cell r="CT23" t="str">
            <v>יונתן</v>
          </cell>
          <cell r="CU23" t="str">
            <v>וגמן</v>
          </cell>
          <cell r="CV23">
            <v>8114.3805376105047</v>
          </cell>
          <cell r="CW23">
            <v>8114.3805376105047</v>
          </cell>
          <cell r="CX23">
            <v>8114.3805376105047</v>
          </cell>
          <cell r="CY23">
            <v>8114.3805376105047</v>
          </cell>
          <cell r="CZ23">
            <v>8114.3805376105047</v>
          </cell>
          <cell r="DA23">
            <v>8114.3805376105047</v>
          </cell>
          <cell r="DB23">
            <v>8114.3805376105047</v>
          </cell>
          <cell r="DC23">
            <v>8114.3805376105047</v>
          </cell>
          <cell r="DD23">
            <v>8114.3805376105047</v>
          </cell>
          <cell r="DE23">
            <v>8114.3805376105047</v>
          </cell>
          <cell r="DF23">
            <v>8114.3805376105047</v>
          </cell>
          <cell r="DG23">
            <v>8114.3805376105047</v>
          </cell>
          <cell r="DH23">
            <v>97372.566451326027</v>
          </cell>
        </row>
        <row r="24">
          <cell r="B24">
            <v>998</v>
          </cell>
          <cell r="C24" t="str">
            <v>Casterra RD</v>
          </cell>
          <cell r="P24" t="str">
            <v>Rebranding</v>
          </cell>
          <cell r="Q24" t="str">
            <v>P268 - Rebranding</v>
          </cell>
          <cell r="R24" t="str">
            <v>Corporate</v>
          </cell>
          <cell r="S24" t="str">
            <v>P268</v>
          </cell>
          <cell r="BN24" t="str">
            <v>T204 - Small Molecules</v>
          </cell>
          <cell r="BO24" t="str">
            <v>Small Molecules Fixed cost</v>
          </cell>
          <cell r="BP24" t="str">
            <v>B40/22.P274.422.XXX-T204</v>
          </cell>
          <cell r="BQ24" t="str">
            <v>Fixed - Specific</v>
          </cell>
          <cell r="BR24" t="str">
            <v>422</v>
          </cell>
          <cell r="BS24" t="str">
            <v>B40</v>
          </cell>
          <cell r="BT24" t="str">
            <v>CPB</v>
          </cell>
          <cell r="BU24" t="str">
            <v>Evogene service</v>
          </cell>
          <cell r="BV24" t="str">
            <v>Period</v>
          </cell>
          <cell r="BW24">
            <v>0</v>
          </cell>
          <cell r="CP24" t="str">
            <v>עידו זינגר</v>
          </cell>
          <cell r="CQ24">
            <v>981</v>
          </cell>
          <cell r="CR24" t="str">
            <v>Canonic RD</v>
          </cell>
          <cell r="CS24" t="str">
            <v>Propagation agronomist</v>
          </cell>
          <cell r="CT24" t="str">
            <v>עידו</v>
          </cell>
          <cell r="CU24" t="str">
            <v>זינגר</v>
          </cell>
          <cell r="CV24">
            <v>5687.1281762869066</v>
          </cell>
          <cell r="CW24">
            <v>5687.1281762869066</v>
          </cell>
          <cell r="CX24">
            <v>5687.1281762869066</v>
          </cell>
          <cell r="CY24">
            <v>5687.1281762869066</v>
          </cell>
          <cell r="CZ24">
            <v>5687.1281762869066</v>
          </cell>
          <cell r="DA24">
            <v>5687.1281762869066</v>
          </cell>
          <cell r="DB24">
            <v>5687.1281762869066</v>
          </cell>
          <cell r="DC24">
            <v>5687.1281762869066</v>
          </cell>
          <cell r="DD24">
            <v>5687.1281762869066</v>
          </cell>
          <cell r="DE24">
            <v>5687.1281762869066</v>
          </cell>
          <cell r="DF24">
            <v>5687.1281762869066</v>
          </cell>
          <cell r="DG24">
            <v>5687.1281762869066</v>
          </cell>
          <cell r="DH24">
            <v>68245.538115442861</v>
          </cell>
        </row>
        <row r="25">
          <cell r="B25">
            <v>417</v>
          </cell>
          <cell r="C25" t="str">
            <v>Chemistry Lab</v>
          </cell>
          <cell r="P25" t="str">
            <v>Zero Balance</v>
          </cell>
          <cell r="Q25" t="str">
            <v>P509 - Zero Balance</v>
          </cell>
          <cell r="R25" t="str">
            <v>Corporate</v>
          </cell>
          <cell r="S25" t="str">
            <v>P509</v>
          </cell>
          <cell r="BN25" t="str">
            <v>T205 - Labs and GH package</v>
          </cell>
          <cell r="BO25" t="str">
            <v>Labs and GH package Fixed cost</v>
          </cell>
          <cell r="BP25" t="str">
            <v>B40/22.P275.422.XXX-T205</v>
          </cell>
          <cell r="BQ25" t="str">
            <v>Fixed - Specific</v>
          </cell>
          <cell r="BR25" t="str">
            <v>422</v>
          </cell>
          <cell r="BS25" t="str">
            <v>B40</v>
          </cell>
          <cell r="BT25" t="str">
            <v>CPB</v>
          </cell>
          <cell r="BU25" t="str">
            <v>Evogene service</v>
          </cell>
          <cell r="BV25" t="str">
            <v>Period</v>
          </cell>
          <cell r="BW25">
            <v>0</v>
          </cell>
          <cell r="CP25" t="str">
            <v>ילנה חולי</v>
          </cell>
          <cell r="CQ25">
            <v>981</v>
          </cell>
          <cell r="CR25" t="str">
            <v>Canonic RD</v>
          </cell>
          <cell r="CS25" t="str">
            <v>Marketing &amp; Sales Manager</v>
          </cell>
          <cell r="CT25" t="str">
            <v>ילנה</v>
          </cell>
          <cell r="CU25" t="str">
            <v>חולי</v>
          </cell>
          <cell r="CV25">
            <v>11695.576481005188</v>
          </cell>
          <cell r="CW25">
            <v>11695.576481005188</v>
          </cell>
          <cell r="CX25">
            <v>11695.576481005188</v>
          </cell>
          <cell r="CY25">
            <v>11695.576481005188</v>
          </cell>
          <cell r="CZ25">
            <v>11695.576481005188</v>
          </cell>
          <cell r="DA25">
            <v>11695.576481005188</v>
          </cell>
          <cell r="DB25">
            <v>11695.576481005188</v>
          </cell>
          <cell r="DC25">
            <v>11695.576481005188</v>
          </cell>
          <cell r="DD25">
            <v>11695.576481005188</v>
          </cell>
          <cell r="DE25">
            <v>11695.576481005188</v>
          </cell>
          <cell r="DF25">
            <v>11695.576481005188</v>
          </cell>
          <cell r="DG25">
            <v>11695.576481005188</v>
          </cell>
          <cell r="DH25">
            <v>140346.91777206227</v>
          </cell>
        </row>
        <row r="26">
          <cell r="B26">
            <v>602</v>
          </cell>
          <cell r="C26" t="str">
            <v>Corporate BD</v>
          </cell>
          <cell r="P26" t="str">
            <v>Operations &amp; Corporate</v>
          </cell>
          <cell r="Q26" t="str">
            <v>P7 - Operations &amp; Corporate</v>
          </cell>
          <cell r="R26" t="str">
            <v>Corporate</v>
          </cell>
          <cell r="S26" t="str">
            <v>P7</v>
          </cell>
          <cell r="BN26" t="str">
            <v>T206 - GR</v>
          </cell>
          <cell r="BW26">
            <v>0</v>
          </cell>
          <cell r="CP26" t="str">
            <v>אור הרירי</v>
          </cell>
          <cell r="CQ26">
            <v>981</v>
          </cell>
          <cell r="CR26" t="str">
            <v>Canonic RD</v>
          </cell>
          <cell r="CS26" t="str">
            <v>Technician</v>
          </cell>
          <cell r="CT26" t="str">
            <v>אור</v>
          </cell>
          <cell r="CU26" t="str">
            <v>הרירי</v>
          </cell>
          <cell r="CV26">
            <v>5073.6517977207131</v>
          </cell>
          <cell r="CW26">
            <v>5073.6517977207131</v>
          </cell>
          <cell r="CX26">
            <v>5073.6517977207131</v>
          </cell>
          <cell r="CY26">
            <v>5073.6517977207131</v>
          </cell>
          <cell r="CZ26">
            <v>5073.6517977207131</v>
          </cell>
          <cell r="DA26">
            <v>5073.6517977207131</v>
          </cell>
          <cell r="DB26">
            <v>5073.6517977207131</v>
          </cell>
          <cell r="DC26">
            <v>5073.6517977207131</v>
          </cell>
          <cell r="DD26">
            <v>5073.6517977207131</v>
          </cell>
          <cell r="DE26">
            <v>5073.6517977207131</v>
          </cell>
          <cell r="DF26">
            <v>5073.6517977207131</v>
          </cell>
          <cell r="DG26">
            <v>5073.6517977207131</v>
          </cell>
          <cell r="DH26">
            <v>60883.821572648543</v>
          </cell>
        </row>
        <row r="27">
          <cell r="B27">
            <v>601</v>
          </cell>
          <cell r="C27" t="str">
            <v>Corporate Exec. MGMT</v>
          </cell>
          <cell r="P27" t="str">
            <v>CPB Upkeep Computational</v>
          </cell>
          <cell r="Q27" t="str">
            <v>P271 - CPB Upkeep Computational</v>
          </cell>
          <cell r="R27" t="str">
            <v>CPB</v>
          </cell>
          <cell r="S27" t="str">
            <v>P271</v>
          </cell>
          <cell r="BN27" t="str">
            <v>T207 - CP</v>
          </cell>
          <cell r="BW27">
            <v>0</v>
          </cell>
          <cell r="CP27" t="str">
            <v>יפית סוגס</v>
          </cell>
          <cell r="CQ27">
            <v>996</v>
          </cell>
          <cell r="CR27" t="str">
            <v>Canonic BD</v>
          </cell>
          <cell r="CS27" t="str">
            <v>Breeder Assistant</v>
          </cell>
          <cell r="CT27" t="str">
            <v>יפית</v>
          </cell>
          <cell r="CU27" t="str">
            <v>סוגס</v>
          </cell>
          <cell r="CV27">
            <v>5035.5962094854185</v>
          </cell>
          <cell r="CW27">
            <v>5035.5962094854185</v>
          </cell>
          <cell r="CX27">
            <v>5035.5962094854185</v>
          </cell>
          <cell r="CY27">
            <v>5035.5962094854185</v>
          </cell>
          <cell r="CZ27">
            <v>5035.5962094854185</v>
          </cell>
          <cell r="DA27">
            <v>5035.5962094854185</v>
          </cell>
          <cell r="DB27">
            <v>5035.5962094854185</v>
          </cell>
          <cell r="DC27">
            <v>5035.5962094854185</v>
          </cell>
          <cell r="DD27">
            <v>5035.5962094854185</v>
          </cell>
          <cell r="DE27">
            <v>5035.5962094854185</v>
          </cell>
          <cell r="DF27">
            <v>5035.5962094854185</v>
          </cell>
          <cell r="DG27">
            <v>5035.5962094854185</v>
          </cell>
          <cell r="DH27">
            <v>60427.154513825022</v>
          </cell>
        </row>
        <row r="28">
          <cell r="B28">
            <v>411</v>
          </cell>
          <cell r="C28" t="str">
            <v>Data Generation</v>
          </cell>
          <cell r="P28" t="str">
            <v>CPB Upkeep Experimental</v>
          </cell>
          <cell r="Q28" t="str">
            <v>P275 - CPB Upkeep Experimental</v>
          </cell>
          <cell r="R28" t="str">
            <v>CPB</v>
          </cell>
          <cell r="S28" t="str">
            <v>P275</v>
          </cell>
          <cell r="BN28" t="str">
            <v>T208 - MB</v>
          </cell>
          <cell r="BW28">
            <v>0</v>
          </cell>
          <cell r="CP28" t="str">
            <v>אייל רונן</v>
          </cell>
          <cell r="CQ28">
            <v>601</v>
          </cell>
          <cell r="CR28" t="str">
            <v>BD</v>
          </cell>
          <cell r="CS28" t="str">
            <v>EVP BD</v>
          </cell>
          <cell r="CT28" t="str">
            <v>אייל</v>
          </cell>
          <cell r="CU28" t="str">
            <v>רונן</v>
          </cell>
          <cell r="CV28">
            <v>22264.705882352941</v>
          </cell>
          <cell r="CW28">
            <v>22264.765702538974</v>
          </cell>
          <cell r="CX28">
            <v>22264.765702538974</v>
          </cell>
          <cell r="CY28">
            <v>22264.765702538974</v>
          </cell>
          <cell r="CZ28">
            <v>22264.765702538974</v>
          </cell>
          <cell r="DA28">
            <v>22264.765702538974</v>
          </cell>
          <cell r="DB28">
            <v>22264.765702538974</v>
          </cell>
          <cell r="DC28">
            <v>22264.765702538974</v>
          </cell>
          <cell r="DD28">
            <v>22264.765702538974</v>
          </cell>
          <cell r="DE28">
            <v>22264.765702538974</v>
          </cell>
          <cell r="DF28">
            <v>22264.765702538974</v>
          </cell>
          <cell r="DG28">
            <v>22264.765702538974</v>
          </cell>
          <cell r="DH28">
            <v>267177.12861028168</v>
          </cell>
        </row>
        <row r="29">
          <cell r="B29">
            <v>420</v>
          </cell>
          <cell r="C29" t="str">
            <v>DevOps</v>
          </cell>
          <cell r="P29" t="str">
            <v>CTO Projects</v>
          </cell>
          <cell r="Q29" t="str">
            <v>P276 - CTO Projects</v>
          </cell>
          <cell r="R29" t="str">
            <v>CPB</v>
          </cell>
          <cell r="S29" t="str">
            <v>P276</v>
          </cell>
          <cell r="BN29" t="str">
            <v>T209 - Computational</v>
          </cell>
          <cell r="BW29">
            <v>164396.02242658116</v>
          </cell>
          <cell r="CP29" t="str">
            <v>אלי אזולאי</v>
          </cell>
          <cell r="CQ29">
            <v>996</v>
          </cell>
          <cell r="CR29" t="str">
            <v>Canonic BD</v>
          </cell>
          <cell r="CS29" t="str">
            <v>Sales Representative</v>
          </cell>
          <cell r="CT29" t="str">
            <v>אלי</v>
          </cell>
          <cell r="CU29" t="str">
            <v>אזולאי</v>
          </cell>
          <cell r="CV29">
            <v>9015.0507708090172</v>
          </cell>
          <cell r="CW29">
            <v>9015.0507708090172</v>
          </cell>
          <cell r="CX29">
            <v>9015.0507708090172</v>
          </cell>
          <cell r="CY29">
            <v>9015.0507708090172</v>
          </cell>
          <cell r="CZ29">
            <v>9015.0507708090172</v>
          </cell>
          <cell r="DA29">
            <v>9015.0507708090172</v>
          </cell>
          <cell r="DB29">
            <v>9015.0507708090172</v>
          </cell>
          <cell r="DC29">
            <v>9015.0507708090172</v>
          </cell>
          <cell r="DD29">
            <v>9015.0507708090172</v>
          </cell>
          <cell r="DE29">
            <v>9015.0507708090172</v>
          </cell>
          <cell r="DF29">
            <v>9015.0507708090172</v>
          </cell>
          <cell r="DG29">
            <v>9015.0507708090172</v>
          </cell>
          <cell r="DH29">
            <v>108180.6092497082</v>
          </cell>
        </row>
        <row r="30">
          <cell r="B30">
            <v>650</v>
          </cell>
          <cell r="C30" t="str">
            <v>Evogene CSO</v>
          </cell>
          <cell r="P30" t="str">
            <v>CPB projects Computational</v>
          </cell>
          <cell r="Q30" t="str">
            <v>P279 - CPB projects Computational</v>
          </cell>
          <cell r="R30" t="str">
            <v>CPB</v>
          </cell>
          <cell r="S30" t="str">
            <v>P279</v>
          </cell>
          <cell r="BN30" t="str">
            <v>T210 - Experimnetal</v>
          </cell>
          <cell r="BW30">
            <v>71198.533663058857</v>
          </cell>
          <cell r="CP30" t="str">
            <v xml:space="preserve"> </v>
          </cell>
          <cell r="DH30">
            <v>1060011.7930484815</v>
          </cell>
        </row>
        <row r="31">
          <cell r="B31">
            <v>997</v>
          </cell>
          <cell r="C31" t="str">
            <v>Evogene INC</v>
          </cell>
          <cell r="P31" t="str">
            <v>CPB projects Experimental</v>
          </cell>
          <cell r="Q31" t="str">
            <v>P281 - CPB projects Experimental</v>
          </cell>
          <cell r="R31" t="str">
            <v>CPB</v>
          </cell>
          <cell r="S31" t="str">
            <v>P281</v>
          </cell>
          <cell r="BN31" t="str">
            <v>T299 - Margin CPB</v>
          </cell>
          <cell r="BO31" t="str">
            <v>Margin CPB Fixed cost</v>
          </cell>
          <cell r="BP31" t="str">
            <v>B40/22.P997.422.XXX-T299</v>
          </cell>
          <cell r="BQ31" t="str">
            <v>Fixed - Specific</v>
          </cell>
          <cell r="BR31" t="str">
            <v>422</v>
          </cell>
          <cell r="BS31" t="str">
            <v>B40</v>
          </cell>
          <cell r="BT31" t="str">
            <v>CPB</v>
          </cell>
          <cell r="BU31" t="str">
            <v>Evogene service</v>
          </cell>
          <cell r="BV31" t="str">
            <v>Period</v>
          </cell>
          <cell r="BW31">
            <v>0</v>
          </cell>
        </row>
        <row r="32">
          <cell r="B32">
            <v>607</v>
          </cell>
          <cell r="C32" t="str">
            <v>Finance</v>
          </cell>
          <cell r="P32" t="str">
            <v>Corteva</v>
          </cell>
          <cell r="Q32" t="str">
            <v>P143 - Corteva</v>
          </cell>
          <cell r="R32" t="str">
            <v>Lavie Bio</v>
          </cell>
          <cell r="S32" t="str">
            <v>P143</v>
          </cell>
          <cell r="BN32" t="str">
            <v>T301 - Green House Controlled</v>
          </cell>
          <cell r="BO32" t="str">
            <v>Green House Controlled Fixed cost  Per annual 50 SQM</v>
          </cell>
          <cell r="BP32" t="str">
            <v>B90/22.P997.425.XXX-T301</v>
          </cell>
          <cell r="BQ32" t="str">
            <v>Annual per unit</v>
          </cell>
          <cell r="BR32" t="str">
            <v>425</v>
          </cell>
          <cell r="BS32" t="str">
            <v>B90</v>
          </cell>
          <cell r="BT32" t="str">
            <v>CPB</v>
          </cell>
          <cell r="BU32" t="str">
            <v>Evogene service</v>
          </cell>
          <cell r="BV32" t="str">
            <v>Period</v>
          </cell>
          <cell r="BW32">
            <v>1250</v>
          </cell>
          <cell r="CW32">
            <v>108221.90456776788</v>
          </cell>
          <cell r="DH32">
            <v>806254.98795790016</v>
          </cell>
        </row>
        <row r="33">
          <cell r="B33">
            <v>603</v>
          </cell>
          <cell r="C33" t="str">
            <v>HR</v>
          </cell>
          <cell r="P33" t="str">
            <v>Corteva - IA</v>
          </cell>
          <cell r="Q33" t="str">
            <v>P145-Corteva - IA</v>
          </cell>
          <cell r="R33" t="str">
            <v>Lavie Bio</v>
          </cell>
          <cell r="S33" t="str">
            <v>P145</v>
          </cell>
          <cell r="BN33" t="str">
            <v>T302 - Green House Non-Controlled</v>
          </cell>
          <cell r="BO33" t="str">
            <v>Green House Non-Controlled Fixed cost  Per annual 200 SQM</v>
          </cell>
          <cell r="BP33" t="str">
            <v>B90/22.P997.425.XXX-T302</v>
          </cell>
          <cell r="BQ33" t="str">
            <v>Annual per unit</v>
          </cell>
          <cell r="BR33" t="str">
            <v>425</v>
          </cell>
          <cell r="BS33" t="str">
            <v>B90</v>
          </cell>
          <cell r="BT33" t="str">
            <v>CPB</v>
          </cell>
          <cell r="BU33" t="str">
            <v>Evogene service</v>
          </cell>
          <cell r="BV33" t="str">
            <v>Period</v>
          </cell>
          <cell r="BW33">
            <v>182290.65020738798</v>
          </cell>
          <cell r="DG33" t="str">
            <v>SOW</v>
          </cell>
          <cell r="DH33">
            <v>806254.98795790016</v>
          </cell>
        </row>
        <row r="34">
          <cell r="B34">
            <v>605</v>
          </cell>
          <cell r="C34" t="str">
            <v>IP</v>
          </cell>
          <cell r="P34" t="str">
            <v>Thrivus</v>
          </cell>
          <cell r="Q34" t="str">
            <v>P19 - Thrivus</v>
          </cell>
          <cell r="R34" t="str">
            <v>Lavie Bio</v>
          </cell>
          <cell r="S34" t="str">
            <v>P19</v>
          </cell>
          <cell r="BN34" t="str">
            <v>T303 - Office utilities</v>
          </cell>
          <cell r="BO34" t="str">
            <v>Office utilities Fixed cost</v>
          </cell>
          <cell r="BP34" t="str">
            <v>B90/22.P997.425.XXX-T303</v>
          </cell>
          <cell r="BQ34" t="str">
            <v>Fixed - Specific</v>
          </cell>
          <cell r="BR34" t="str">
            <v>425</v>
          </cell>
          <cell r="BS34" t="str">
            <v>B90</v>
          </cell>
          <cell r="BT34" t="str">
            <v>Corporate</v>
          </cell>
          <cell r="BU34" t="str">
            <v>Evogene service</v>
          </cell>
          <cell r="BV34" t="str">
            <v>Period</v>
          </cell>
          <cell r="BW34">
            <v>0</v>
          </cell>
          <cell r="DH34">
            <v>0</v>
          </cell>
        </row>
        <row r="35">
          <cell r="B35">
            <v>609</v>
          </cell>
          <cell r="C35" t="str">
            <v>IP Part time</v>
          </cell>
          <cell r="P35" t="str">
            <v>Lavie_programs</v>
          </cell>
          <cell r="Q35" t="str">
            <v>P192-Lavie programs</v>
          </cell>
          <cell r="R35" t="str">
            <v>Lavie Bio</v>
          </cell>
          <cell r="S35" t="str">
            <v>P192</v>
          </cell>
          <cell r="BN35" t="str">
            <v>T304 - Labs utilities</v>
          </cell>
          <cell r="BO35" t="str">
            <v>Labs utilities Fixed cost</v>
          </cell>
          <cell r="BP35" t="str">
            <v>B90/22.P997.425.XXX-T304</v>
          </cell>
          <cell r="BQ35" t="str">
            <v>Fixed - Specific</v>
          </cell>
          <cell r="BR35" t="str">
            <v>425</v>
          </cell>
          <cell r="BS35" t="str">
            <v>B90</v>
          </cell>
          <cell r="BT35" t="str">
            <v>Corporate</v>
          </cell>
          <cell r="BU35" t="str">
            <v>Evogene service</v>
          </cell>
          <cell r="BV35" t="str">
            <v>Period</v>
          </cell>
          <cell r="BW35">
            <v>44675.485016154285</v>
          </cell>
        </row>
        <row r="36">
          <cell r="B36">
            <v>606</v>
          </cell>
          <cell r="C36" t="str">
            <v>IR\PR</v>
          </cell>
          <cell r="P36" t="str">
            <v>ICL</v>
          </cell>
          <cell r="Q36" t="str">
            <v>P82 - ICL</v>
          </cell>
          <cell r="R36" t="str">
            <v>Lavie Bio</v>
          </cell>
          <cell r="S36" t="str">
            <v>P82</v>
          </cell>
          <cell r="BN36" t="str">
            <v>T399 - Margin Operation</v>
          </cell>
          <cell r="BO36" t="str">
            <v>Margin Operation Fixed cost</v>
          </cell>
          <cell r="BP36" t="str">
            <v>B90/22.P997.425.XXX-T399</v>
          </cell>
          <cell r="BQ36" t="str">
            <v>Fixed - Specific</v>
          </cell>
          <cell r="BR36" t="str">
            <v>425</v>
          </cell>
          <cell r="BS36" t="str">
            <v>B90</v>
          </cell>
          <cell r="BT36" t="str">
            <v>Corporate</v>
          </cell>
          <cell r="BU36" t="str">
            <v>Evogene service</v>
          </cell>
          <cell r="BV36" t="str">
            <v>Period</v>
          </cell>
          <cell r="BW36">
            <v>0</v>
          </cell>
        </row>
        <row r="37">
          <cell r="B37">
            <v>421</v>
          </cell>
          <cell r="C37" t="str">
            <v>IT</v>
          </cell>
          <cell r="P37" t="str">
            <v>Product-CP</v>
          </cell>
          <cell r="Q37" t="str">
            <v>P264 - Product-CP</v>
          </cell>
          <cell r="R37" t="str">
            <v>Product</v>
          </cell>
          <cell r="S37" t="str">
            <v>P264</v>
          </cell>
          <cell r="BN37" t="str">
            <v>T901 - Finance &amp; Purchasing &amp;D&amp;O</v>
          </cell>
          <cell r="BP37" t="str">
            <v>B90/62.P997.607.XXX-T901</v>
          </cell>
          <cell r="BQ37" t="str">
            <v>Per 1 organic FTE</v>
          </cell>
          <cell r="BR37" t="str">
            <v>607</v>
          </cell>
          <cell r="BS37" t="str">
            <v>B90</v>
          </cell>
          <cell r="BT37" t="str">
            <v>Corporate</v>
          </cell>
          <cell r="BU37" t="str">
            <v>Evogene service</v>
          </cell>
          <cell r="BV37" t="str">
            <v>Period</v>
          </cell>
          <cell r="BW37">
            <v>38250</v>
          </cell>
        </row>
        <row r="38">
          <cell r="B38">
            <v>102</v>
          </cell>
          <cell r="C38" t="str">
            <v>Lavie Bio BD .LTD</v>
          </cell>
          <cell r="P38" t="str">
            <v>Product- MB</v>
          </cell>
          <cell r="Q38" t="str">
            <v>P265 - Product- MB</v>
          </cell>
          <cell r="R38" t="str">
            <v>Product</v>
          </cell>
          <cell r="S38" t="str">
            <v>P265</v>
          </cell>
          <cell r="BN38" t="str">
            <v>T902 - HR</v>
          </cell>
          <cell r="BP38" t="str">
            <v>B90/62.P997.603.XXX-T902</v>
          </cell>
          <cell r="BQ38" t="str">
            <v>Per 1 organic FTE</v>
          </cell>
          <cell r="BR38" t="str">
            <v>603</v>
          </cell>
          <cell r="BS38" t="str">
            <v>B90</v>
          </cell>
          <cell r="BT38" t="str">
            <v>Corporate</v>
          </cell>
          <cell r="BU38" t="str">
            <v>Evogene service</v>
          </cell>
          <cell r="BV38" t="str">
            <v>Period</v>
          </cell>
          <cell r="BW38">
            <v>32300</v>
          </cell>
        </row>
        <row r="39">
          <cell r="B39">
            <v>105</v>
          </cell>
          <cell r="C39" t="str">
            <v>Lavie Bio Development .LTD</v>
          </cell>
          <cell r="P39" t="str">
            <v>Product- GR</v>
          </cell>
          <cell r="Q39" t="str">
            <v>P266 - Product- GR</v>
          </cell>
          <cell r="R39" t="str">
            <v>Product</v>
          </cell>
          <cell r="S39" t="str">
            <v>P266</v>
          </cell>
          <cell r="BP39" t="str">
            <v>B90/22.P997.608.XXX-T903</v>
          </cell>
          <cell r="BQ39" t="str">
            <v>Per 1 organic FTE</v>
          </cell>
          <cell r="BR39" t="str">
            <v>608</v>
          </cell>
          <cell r="BS39" t="str">
            <v>B90</v>
          </cell>
          <cell r="BT39" t="str">
            <v>Corporate</v>
          </cell>
          <cell r="BU39" t="str">
            <v>Evogene service</v>
          </cell>
          <cell r="BV39" t="str">
            <v>Period</v>
          </cell>
        </row>
        <row r="40">
          <cell r="B40">
            <v>101</v>
          </cell>
          <cell r="C40" t="str">
            <v xml:space="preserve"> Lavie Bio Exec. MGMT</v>
          </cell>
          <cell r="P40" t="str">
            <v xml:space="preserve">Product- Upkeep GR </v>
          </cell>
          <cell r="Q40" t="str">
            <v xml:space="preserve">P272 - Product- Upkeep GR </v>
          </cell>
          <cell r="R40" t="str">
            <v>Product</v>
          </cell>
          <cell r="S40" t="str">
            <v>P272</v>
          </cell>
          <cell r="BN40" t="str">
            <v>T904 - IT</v>
          </cell>
          <cell r="BP40" t="str">
            <v>B40/22.P97.421.XXX-T904</v>
          </cell>
          <cell r="BQ40" t="str">
            <v>Per 1 organic FTE</v>
          </cell>
          <cell r="BR40" t="str">
            <v>421</v>
          </cell>
          <cell r="BS40" t="str">
            <v>B40</v>
          </cell>
          <cell r="BT40" t="str">
            <v>CPB</v>
          </cell>
          <cell r="BU40" t="str">
            <v>Evogene service</v>
          </cell>
          <cell r="BV40" t="str">
            <v>Period</v>
          </cell>
        </row>
        <row r="41">
          <cell r="B41">
            <v>121</v>
          </cell>
          <cell r="C41" t="str">
            <v>Lavie Bio INC</v>
          </cell>
          <cell r="P41" t="str">
            <v xml:space="preserve">Product- Upkeep MB </v>
          </cell>
          <cell r="Q41" t="str">
            <v xml:space="preserve">P273 - Product- Upkeep MB </v>
          </cell>
          <cell r="R41" t="str">
            <v>Product</v>
          </cell>
          <cell r="S41" t="str">
            <v>P273</v>
          </cell>
          <cell r="BN41" t="str">
            <v>T905 - IP</v>
          </cell>
          <cell r="BP41" t="str">
            <v>B90/22.P997.609.XXX-T905</v>
          </cell>
          <cell r="BQ41" t="str">
            <v>Per 1 organic FTE</v>
          </cell>
          <cell r="BR41" t="str">
            <v>609</v>
          </cell>
          <cell r="BS41" t="str">
            <v>B90</v>
          </cell>
          <cell r="BT41" t="str">
            <v>Corporate</v>
          </cell>
          <cell r="BU41" t="str">
            <v>Evogene service</v>
          </cell>
          <cell r="BV41" t="str">
            <v>Period</v>
          </cell>
          <cell r="BW41">
            <v>492.81512513468635</v>
          </cell>
        </row>
        <row r="42">
          <cell r="B42">
            <v>123</v>
          </cell>
          <cell r="C42" t="str">
            <v>Lavie Bio INC Admin</v>
          </cell>
          <cell r="P42" t="str">
            <v xml:space="preserve">Product- Upkeep CP </v>
          </cell>
          <cell r="Q42" t="str">
            <v xml:space="preserve">P274 - Product- Upkeep CP </v>
          </cell>
          <cell r="R42" t="str">
            <v>Product</v>
          </cell>
          <cell r="S42" t="str">
            <v>P274</v>
          </cell>
          <cell r="BP42" t="str">
            <v>B90/62.P997.607.XXX-T911</v>
          </cell>
          <cell r="BQ42" t="str">
            <v>Per Company</v>
          </cell>
          <cell r="BR42" t="str">
            <v>607</v>
          </cell>
          <cell r="BS42" t="str">
            <v>B90</v>
          </cell>
          <cell r="BT42" t="str">
            <v>Corporate</v>
          </cell>
          <cell r="BU42" t="str">
            <v>Evogene service</v>
          </cell>
          <cell r="BV42" t="str">
            <v>Period</v>
          </cell>
        </row>
        <row r="43">
          <cell r="B43">
            <v>122</v>
          </cell>
          <cell r="C43" t="str">
            <v>Lavie Bio BD .INC</v>
          </cell>
          <cell r="P43" t="str">
            <v>CrisprIL_WP1</v>
          </cell>
          <cell r="Q43" t="str">
            <v>P277 - CrisprIL_WP1</v>
          </cell>
          <cell r="R43" t="str">
            <v>Product</v>
          </cell>
          <cell r="S43" t="str">
            <v>P277</v>
          </cell>
          <cell r="BN43" t="str">
            <v>T912 - IRPR</v>
          </cell>
          <cell r="BP43" t="str">
            <v>B90/62.P997.606.XXX-T912</v>
          </cell>
          <cell r="BQ43" t="str">
            <v>Fixed - Specific</v>
          </cell>
          <cell r="BR43" t="str">
            <v>606</v>
          </cell>
          <cell r="BS43" t="str">
            <v>B90</v>
          </cell>
          <cell r="BT43" t="str">
            <v>Corporate</v>
          </cell>
          <cell r="BU43" t="str">
            <v>Evogene service</v>
          </cell>
          <cell r="BV43" t="str">
            <v>Period</v>
          </cell>
          <cell r="BW43">
            <v>10500</v>
          </cell>
        </row>
        <row r="44">
          <cell r="B44">
            <v>120</v>
          </cell>
          <cell r="C44" t="str">
            <v>Lavie Bio Management .INC</v>
          </cell>
          <cell r="P44" t="str">
            <v>CrisprIL_WP4</v>
          </cell>
          <cell r="Q44" t="str">
            <v>P278 - CrisprIL_WP4</v>
          </cell>
          <cell r="R44" t="str">
            <v>Product</v>
          </cell>
          <cell r="S44" t="str">
            <v>P278</v>
          </cell>
          <cell r="BN44" t="str">
            <v>T914 - Marcom</v>
          </cell>
          <cell r="BW44">
            <v>5000</v>
          </cell>
        </row>
        <row r="45">
          <cell r="B45">
            <v>108</v>
          </cell>
          <cell r="C45" t="str">
            <v>Lavie Bio Micro. Lab</v>
          </cell>
          <cell r="P45" t="str">
            <v>CrisprIL_Prediction</v>
          </cell>
          <cell r="Q45" t="str">
            <v>P280 - CrisprIL_Prediction</v>
          </cell>
          <cell r="R45" t="str">
            <v>Product</v>
          </cell>
          <cell r="S45" t="str">
            <v>P280</v>
          </cell>
          <cell r="BN45" t="str">
            <v>T913 - Legal</v>
          </cell>
          <cell r="BP45" t="str">
            <v>B90/62.P997.604.XXX-T913</v>
          </cell>
          <cell r="BQ45" t="str">
            <v>Fixed - Specific</v>
          </cell>
          <cell r="BR45" t="str">
            <v>604</v>
          </cell>
          <cell r="BS45" t="str">
            <v>B90</v>
          </cell>
          <cell r="BT45" t="str">
            <v>Corporate</v>
          </cell>
          <cell r="BU45" t="str">
            <v>Evogene service</v>
          </cell>
          <cell r="BV45" t="str">
            <v>Period</v>
          </cell>
          <cell r="BW45">
            <v>30000</v>
          </cell>
        </row>
        <row r="46">
          <cell r="B46">
            <v>103</v>
          </cell>
          <cell r="C46" t="str">
            <v>Lavie Bio PM</v>
          </cell>
          <cell r="P46" t="str">
            <v>Product general</v>
          </cell>
          <cell r="Q46" t="str">
            <v>P282-Product general</v>
          </cell>
          <cell r="R46" t="str">
            <v>Product</v>
          </cell>
          <cell r="S46" t="str">
            <v>P282</v>
          </cell>
          <cell r="BN46" t="str">
            <v>T999 - Margin Corporate</v>
          </cell>
          <cell r="BO46" t="str">
            <v>Margin Corporate Fixed cost</v>
          </cell>
          <cell r="BP46" t="str">
            <v>B90/62.P997.607.XXX-T999</v>
          </cell>
          <cell r="BQ46" t="str">
            <v>Fixed - Specific</v>
          </cell>
          <cell r="BR46" t="str">
            <v>607</v>
          </cell>
          <cell r="BS46" t="str">
            <v>B90</v>
          </cell>
          <cell r="BT46" t="str">
            <v>Corporate</v>
          </cell>
          <cell r="BU46" t="str">
            <v>Evogene service</v>
          </cell>
          <cell r="BV46" t="str">
            <v>Period</v>
          </cell>
          <cell r="BW46">
            <v>0</v>
          </cell>
        </row>
        <row r="47">
          <cell r="B47">
            <v>109</v>
          </cell>
          <cell r="C47" t="str">
            <v xml:space="preserve">Lavie Bio Phyto. Lab </v>
          </cell>
          <cell r="P47" t="str">
            <v>Services</v>
          </cell>
          <cell r="Q47" t="str">
            <v>P997 - Services</v>
          </cell>
          <cell r="S47" t="str">
            <v>P997</v>
          </cell>
          <cell r="BN47" t="str">
            <v>E998 - Revenue+Grant</v>
          </cell>
          <cell r="BT47" t="str">
            <v>Revenue+Grant</v>
          </cell>
          <cell r="BU47" t="str">
            <v>External</v>
          </cell>
          <cell r="BW47">
            <v>0</v>
          </cell>
        </row>
        <row r="48">
          <cell r="B48">
            <v>107</v>
          </cell>
          <cell r="C48" t="str">
            <v>Lavie Bio RD MNG</v>
          </cell>
          <cell r="P48" t="str">
            <v>Salaries</v>
          </cell>
          <cell r="Q48" t="str">
            <v>P998 - Salaries</v>
          </cell>
          <cell r="S48" t="str">
            <v>P998</v>
          </cell>
        </row>
        <row r="49">
          <cell r="B49">
            <v>104</v>
          </cell>
          <cell r="C49" t="str">
            <v>Lavie Bio Research .LTD</v>
          </cell>
          <cell r="P49" t="str">
            <v>General</v>
          </cell>
          <cell r="Q49" t="str">
            <v>P999 - General</v>
          </cell>
          <cell r="S49" t="str">
            <v>P999</v>
          </cell>
        </row>
        <row r="50">
          <cell r="B50">
            <v>106</v>
          </cell>
          <cell r="C50" t="str">
            <v>Lavie Bio Systems</v>
          </cell>
        </row>
        <row r="51">
          <cell r="B51">
            <v>604</v>
          </cell>
          <cell r="C51" t="str">
            <v>Legal</v>
          </cell>
        </row>
        <row r="52">
          <cell r="B52">
            <v>413</v>
          </cell>
          <cell r="C52" t="str">
            <v>Molecular Lab</v>
          </cell>
        </row>
        <row r="53">
          <cell r="B53">
            <v>425</v>
          </cell>
          <cell r="C53" t="str">
            <v>Operations</v>
          </cell>
        </row>
        <row r="54">
          <cell r="B54">
            <v>412</v>
          </cell>
          <cell r="C54" t="str">
            <v>PLM</v>
          </cell>
        </row>
        <row r="55">
          <cell r="B55">
            <v>415</v>
          </cell>
          <cell r="C55" t="str">
            <v>Phytopathology Lab</v>
          </cell>
        </row>
        <row r="56">
          <cell r="B56">
            <v>418</v>
          </cell>
          <cell r="C56" t="str">
            <v>Plant Growth</v>
          </cell>
        </row>
        <row r="57">
          <cell r="B57">
            <v>427</v>
          </cell>
          <cell r="C57" t="str">
            <v>Product Management</v>
          </cell>
        </row>
        <row r="58">
          <cell r="B58">
            <v>426</v>
          </cell>
          <cell r="C58" t="str">
            <v>Project Management</v>
          </cell>
        </row>
        <row r="59">
          <cell r="B59">
            <v>608</v>
          </cell>
          <cell r="C59" t="str">
            <v>Purchasing</v>
          </cell>
        </row>
        <row r="60">
          <cell r="B60">
            <v>419</v>
          </cell>
          <cell r="C60" t="str">
            <v>QA</v>
          </cell>
        </row>
        <row r="61">
          <cell r="B61">
            <v>428</v>
          </cell>
          <cell r="C61" t="str">
            <v>Seed Bank</v>
          </cell>
        </row>
        <row r="62">
          <cell r="B62">
            <v>406</v>
          </cell>
          <cell r="C62" t="str">
            <v>Software Development</v>
          </cell>
        </row>
        <row r="63">
          <cell r="B63">
            <v>416</v>
          </cell>
          <cell r="C63" t="str">
            <v>Tissue Culture</v>
          </cell>
        </row>
        <row r="64">
          <cell r="B64">
            <v>111</v>
          </cell>
          <cell r="C64" t="str">
            <v>Lavie Bio COO .LTD</v>
          </cell>
        </row>
        <row r="65">
          <cell r="B65">
            <v>124</v>
          </cell>
          <cell r="C65" t="str">
            <v>Lavie Bio COO .INC</v>
          </cell>
        </row>
        <row r="66">
          <cell r="B66">
            <v>125</v>
          </cell>
          <cell r="C66" t="str">
            <v>Lavie Bio US site</v>
          </cell>
        </row>
        <row r="67">
          <cell r="B67">
            <v>126</v>
          </cell>
          <cell r="C67" t="str">
            <v>Lavie Bio Commercial .LTD</v>
          </cell>
        </row>
        <row r="68">
          <cell r="B68">
            <v>127</v>
          </cell>
          <cell r="C68" t="str">
            <v>Lavie Bio Commercial .INC</v>
          </cell>
        </row>
        <row r="69">
          <cell r="B69">
            <v>128</v>
          </cell>
          <cell r="C69" t="str">
            <v>Lavie Bio Development .INC</v>
          </cell>
        </row>
        <row r="70">
          <cell r="B70">
            <v>129</v>
          </cell>
          <cell r="C70" t="str">
            <v>Lavie Bio Research .INC</v>
          </cell>
        </row>
        <row r="71">
          <cell r="B71">
            <v>130</v>
          </cell>
          <cell r="C71" t="str">
            <v>Lavie Bio Field Dev.LTD</v>
          </cell>
        </row>
        <row r="72">
          <cell r="B72">
            <v>131</v>
          </cell>
          <cell r="C72" t="str">
            <v>Lavie Bio Field Dev. .INC</v>
          </cell>
        </row>
        <row r="73">
          <cell r="B73">
            <v>132</v>
          </cell>
          <cell r="C73" t="str">
            <v>Lavie Bio Micro. Lab .LTD</v>
          </cell>
        </row>
        <row r="74">
          <cell r="B74">
            <v>133</v>
          </cell>
          <cell r="C74" t="str">
            <v>Lavie Bio Micro. Lab .INC</v>
          </cell>
        </row>
      </sheetData>
      <sheetData sheetId="1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JE"/>
      <sheetName val="Sheet1"/>
      <sheetName val="general ledger"/>
      <sheetName val="Ruling"/>
      <sheetName val="Summary "/>
      <sheetName val="Summary Old Budget"/>
      <sheetName val="P&amp;L"/>
      <sheetName val="BS"/>
      <sheetName val="CF"/>
      <sheetName val="BS 1-911"/>
      <sheetName val="P&amp;L 1-911"/>
      <sheetName val="BBS"/>
      <sheetName val="BP&amp;L"/>
      <sheetName val="8.10"/>
      <sheetName val="Sep Ltd"/>
      <sheetName val="TB 10.10"/>
      <sheetName val="מ.ב 11.10"/>
      <sheetName val="TB 12.10"/>
      <sheetName val="BCF"/>
      <sheetName val="TB 1.11"/>
      <sheetName val="Burn Rate"/>
      <sheetName val="TB 2.11"/>
      <sheetName val="TB 3.11"/>
      <sheetName val="Sheet2"/>
      <sheetName val="TB 4.11"/>
      <sheetName val="Sheet3"/>
      <sheetName val="5.11 TB"/>
      <sheetName val="TB 6.11"/>
      <sheetName val="Sheet4"/>
      <sheetName val="TB 7.11"/>
      <sheetName val="Sheet5"/>
      <sheetName val="TB 8.11"/>
      <sheetName val="R&amp;D"/>
      <sheetName val="Sheet6"/>
      <sheetName val="TB 9.11"/>
    </sheetNames>
    <sheetDataSet>
      <sheetData sheetId="0" refreshError="1">
        <row r="2">
          <cell r="D2">
            <v>40513</v>
          </cell>
          <cell r="E2" t="str">
            <v>generic_month</v>
          </cell>
          <cell r="F2" t="str">
            <v>bances_bpl_00</v>
          </cell>
          <cell r="I2" t="str">
            <v>bances_bpl_00</v>
          </cell>
          <cell r="J2" t="str">
            <v>general_ledger_bbs</v>
          </cell>
        </row>
        <row r="3">
          <cell r="D3">
            <v>40544</v>
          </cell>
          <cell r="E3" t="str">
            <v>balances_01</v>
          </cell>
          <cell r="F3" t="str">
            <v>balances_bpl_01</v>
          </cell>
          <cell r="G3" t="str">
            <v>balances_bbc_01</v>
          </cell>
          <cell r="H3" t="str">
            <v>balances_bcf_01</v>
          </cell>
          <cell r="I3" t="str">
            <v>bances_bpl_01</v>
          </cell>
          <cell r="J3" t="str">
            <v>balances_bbs_01</v>
          </cell>
        </row>
        <row r="4">
          <cell r="D4">
            <v>40575</v>
          </cell>
          <cell r="E4" t="str">
            <v>balances_02</v>
          </cell>
          <cell r="F4" t="str">
            <v>balances_bpl_02</v>
          </cell>
          <cell r="G4" t="str">
            <v>balances_bbc_02</v>
          </cell>
          <cell r="H4" t="str">
            <v>balances_bcf_02</v>
          </cell>
          <cell r="I4" t="str">
            <v>balances_bplm_02</v>
          </cell>
          <cell r="J4" t="str">
            <v>balances_bbs_02</v>
          </cell>
        </row>
        <row r="5">
          <cell r="D5">
            <v>40603</v>
          </cell>
          <cell r="E5" t="str">
            <v>balances_03</v>
          </cell>
          <cell r="F5" t="str">
            <v>balances_bpl_03</v>
          </cell>
          <cell r="G5" t="str">
            <v>balances_bbc_03</v>
          </cell>
          <cell r="H5" t="str">
            <v>balances_bcf_03</v>
          </cell>
          <cell r="I5" t="str">
            <v>balances_bplm_03</v>
          </cell>
          <cell r="J5" t="str">
            <v>balances_bbs_03</v>
          </cell>
        </row>
        <row r="6">
          <cell r="D6">
            <v>40634</v>
          </cell>
          <cell r="E6" t="str">
            <v>balances_04</v>
          </cell>
          <cell r="F6" t="str">
            <v>balances_bpl_04</v>
          </cell>
          <cell r="G6" t="str">
            <v>balances_bbc_04</v>
          </cell>
          <cell r="H6" t="str">
            <v>balances_bcf_04</v>
          </cell>
          <cell r="I6" t="str">
            <v>balances_bplm_04</v>
          </cell>
          <cell r="J6" t="str">
            <v>balances_bbs_04</v>
          </cell>
        </row>
        <row r="7">
          <cell r="D7">
            <v>40664</v>
          </cell>
          <cell r="E7" t="str">
            <v>balances_05</v>
          </cell>
          <cell r="F7" t="str">
            <v>balances_bpl_05</v>
          </cell>
          <cell r="G7" t="str">
            <v>balances_bbc_05</v>
          </cell>
          <cell r="H7" t="str">
            <v>balances_bcf_05</v>
          </cell>
          <cell r="I7" t="str">
            <v>balances_bplm_05</v>
          </cell>
          <cell r="J7" t="str">
            <v>balances_bbs_05</v>
          </cell>
        </row>
        <row r="8">
          <cell r="D8">
            <v>40695</v>
          </cell>
          <cell r="E8" t="str">
            <v>balances_06</v>
          </cell>
          <cell r="F8" t="str">
            <v>balances_bpl_06</v>
          </cell>
          <cell r="G8" t="str">
            <v>balances_bbc_06</v>
          </cell>
          <cell r="H8" t="str">
            <v>balances_bcf_06</v>
          </cell>
          <cell r="I8" t="str">
            <v>balances_bplm_06</v>
          </cell>
          <cell r="J8" t="str">
            <v>balances_bbs_06</v>
          </cell>
        </row>
        <row r="9">
          <cell r="D9">
            <v>40725</v>
          </cell>
          <cell r="E9" t="str">
            <v>balances_07</v>
          </cell>
          <cell r="F9" t="str">
            <v>balances_bpl_07</v>
          </cell>
          <cell r="G9" t="str">
            <v>balances_bbc_07</v>
          </cell>
          <cell r="H9" t="str">
            <v>balances_bcf_07</v>
          </cell>
          <cell r="I9" t="str">
            <v>balances_bplm_07</v>
          </cell>
          <cell r="J9" t="str">
            <v>balances_bbs_07</v>
          </cell>
        </row>
        <row r="10">
          <cell r="D10">
            <v>40756</v>
          </cell>
          <cell r="E10" t="str">
            <v>balances_08</v>
          </cell>
          <cell r="F10" t="str">
            <v>balances_bpl_08</v>
          </cell>
          <cell r="G10" t="str">
            <v>balances_bbc_08</v>
          </cell>
          <cell r="H10" t="str">
            <v>balances_bcf_08</v>
          </cell>
          <cell r="I10" t="str">
            <v>balances_bplm_08</v>
          </cell>
          <cell r="J10" t="str">
            <v>balances_bbs_08</v>
          </cell>
        </row>
        <row r="11">
          <cell r="D11">
            <v>40787</v>
          </cell>
          <cell r="E11" t="str">
            <v>balances_09</v>
          </cell>
          <cell r="F11" t="str">
            <v>balances_bpl_09</v>
          </cell>
          <cell r="G11" t="str">
            <v>balances_bbc_09</v>
          </cell>
          <cell r="H11" t="str">
            <v>balances_bcf_09</v>
          </cell>
          <cell r="I11" t="str">
            <v>balances_bplm_09</v>
          </cell>
          <cell r="J11" t="str">
            <v>balances_bbs_09</v>
          </cell>
        </row>
        <row r="12">
          <cell r="D12">
            <v>40817</v>
          </cell>
          <cell r="E12" t="str">
            <v>balances_10</v>
          </cell>
          <cell r="F12" t="str">
            <v>balances_bpl_10</v>
          </cell>
          <cell r="G12" t="str">
            <v>balances_bbc_10</v>
          </cell>
          <cell r="H12" t="str">
            <v>balances_bcf_10</v>
          </cell>
          <cell r="I12" t="str">
            <v>balances_bplm_10</v>
          </cell>
          <cell r="J12" t="str">
            <v>balances_bbs_10</v>
          </cell>
        </row>
        <row r="13">
          <cell r="D13">
            <v>40848</v>
          </cell>
          <cell r="E13" t="str">
            <v>balances_11</v>
          </cell>
          <cell r="F13" t="str">
            <v>balances_bpl_11</v>
          </cell>
          <cell r="G13" t="str">
            <v>balances_bbc_11</v>
          </cell>
          <cell r="H13" t="str">
            <v>balances_bcf_11</v>
          </cell>
          <cell r="I13" t="str">
            <v>balances_bplm_11</v>
          </cell>
          <cell r="J13" t="str">
            <v>balances_bbs_11</v>
          </cell>
        </row>
        <row r="14">
          <cell r="D14">
            <v>40878</v>
          </cell>
          <cell r="E14" t="str">
            <v>balances_12</v>
          </cell>
          <cell r="F14" t="str">
            <v>balances_bpl_12</v>
          </cell>
          <cell r="G14" t="str">
            <v>balances_bbc_12</v>
          </cell>
          <cell r="H14" t="str">
            <v>balances_bcf_12</v>
          </cell>
          <cell r="I14" t="str">
            <v>balances_bplm_12</v>
          </cell>
          <cell r="J14" t="str">
            <v>balances_bbs_12</v>
          </cell>
        </row>
      </sheetData>
      <sheetData sheetId="1" refreshError="1"/>
      <sheetData sheetId="2" refreshError="1"/>
      <sheetData sheetId="3" refreshError="1">
        <row r="4">
          <cell r="J4">
            <v>0</v>
          </cell>
          <cell r="M4">
            <v>0</v>
          </cell>
          <cell r="P4">
            <v>0</v>
          </cell>
          <cell r="S4">
            <v>0</v>
          </cell>
          <cell r="V4">
            <v>0</v>
          </cell>
          <cell r="Y4">
            <v>0</v>
          </cell>
          <cell r="AB4">
            <v>0</v>
          </cell>
          <cell r="AE4">
            <v>0</v>
          </cell>
          <cell r="AH4">
            <v>0</v>
          </cell>
        </row>
        <row r="5">
          <cell r="J5">
            <v>0</v>
          </cell>
          <cell r="M5">
            <v>0</v>
          </cell>
          <cell r="P5">
            <v>0</v>
          </cell>
          <cell r="S5">
            <v>0</v>
          </cell>
          <cell r="V5">
            <v>0</v>
          </cell>
          <cell r="Y5">
            <v>0</v>
          </cell>
          <cell r="AB5">
            <v>0</v>
          </cell>
          <cell r="AE5">
            <v>0</v>
          </cell>
          <cell r="AH5">
            <v>0</v>
          </cell>
        </row>
        <row r="6">
          <cell r="J6">
            <v>0</v>
          </cell>
          <cell r="M6">
            <v>0</v>
          </cell>
          <cell r="P6">
            <v>0</v>
          </cell>
          <cell r="S6">
            <v>0</v>
          </cell>
          <cell r="V6">
            <v>0</v>
          </cell>
          <cell r="Y6">
            <v>0</v>
          </cell>
          <cell r="AB6">
            <v>0</v>
          </cell>
          <cell r="AE6">
            <v>0</v>
          </cell>
          <cell r="AH6">
            <v>0</v>
          </cell>
        </row>
        <row r="7">
          <cell r="J7">
            <v>0</v>
          </cell>
          <cell r="M7">
            <v>0</v>
          </cell>
          <cell r="P7">
            <v>0</v>
          </cell>
          <cell r="S7">
            <v>0</v>
          </cell>
          <cell r="V7">
            <v>0</v>
          </cell>
          <cell r="Y7">
            <v>0</v>
          </cell>
          <cell r="AB7">
            <v>0</v>
          </cell>
          <cell r="AE7">
            <v>0</v>
          </cell>
          <cell r="AH7">
            <v>0</v>
          </cell>
        </row>
        <row r="8">
          <cell r="J8">
            <v>0</v>
          </cell>
          <cell r="M8">
            <v>0</v>
          </cell>
          <cell r="P8">
            <v>0</v>
          </cell>
          <cell r="S8">
            <v>0</v>
          </cell>
          <cell r="V8">
            <v>0</v>
          </cell>
          <cell r="Y8">
            <v>0</v>
          </cell>
          <cell r="AB8">
            <v>0</v>
          </cell>
          <cell r="AE8">
            <v>0</v>
          </cell>
          <cell r="AH8">
            <v>0</v>
          </cell>
        </row>
        <row r="9">
          <cell r="J9">
            <v>0</v>
          </cell>
          <cell r="M9">
            <v>0</v>
          </cell>
          <cell r="P9">
            <v>0</v>
          </cell>
          <cell r="S9">
            <v>0</v>
          </cell>
          <cell r="V9">
            <v>0</v>
          </cell>
          <cell r="Y9">
            <v>0</v>
          </cell>
          <cell r="AB9">
            <v>0</v>
          </cell>
          <cell r="AE9">
            <v>0</v>
          </cell>
          <cell r="AH9">
            <v>0</v>
          </cell>
        </row>
        <row r="10">
          <cell r="J10">
            <v>0</v>
          </cell>
          <cell r="M10">
            <v>0</v>
          </cell>
          <cell r="P10">
            <v>0</v>
          </cell>
          <cell r="S10">
            <v>0</v>
          </cell>
          <cell r="V10">
            <v>0</v>
          </cell>
          <cell r="Y10">
            <v>0</v>
          </cell>
          <cell r="AB10">
            <v>0</v>
          </cell>
          <cell r="AE10">
            <v>0</v>
          </cell>
          <cell r="AH10">
            <v>0</v>
          </cell>
        </row>
        <row r="11">
          <cell r="J11">
            <v>0</v>
          </cell>
          <cell r="M11">
            <v>0</v>
          </cell>
          <cell r="P11">
            <v>0</v>
          </cell>
          <cell r="S11">
            <v>0</v>
          </cell>
          <cell r="V11">
            <v>0</v>
          </cell>
          <cell r="Y11">
            <v>0</v>
          </cell>
          <cell r="AB11">
            <v>0</v>
          </cell>
          <cell r="AE11">
            <v>0</v>
          </cell>
          <cell r="AH11">
            <v>0</v>
          </cell>
        </row>
        <row r="12">
          <cell r="J12">
            <v>-3709.9</v>
          </cell>
          <cell r="M12">
            <v>-27638.29</v>
          </cell>
          <cell r="P12">
            <v>-29125.39</v>
          </cell>
          <cell r="S12">
            <v>-3761.08</v>
          </cell>
          <cell r="V12">
            <v>-33380.15</v>
          </cell>
          <cell r="Y12">
            <v>-30630.87</v>
          </cell>
          <cell r="AB12">
            <v>-22484.46</v>
          </cell>
          <cell r="AE12">
            <v>-84162.69</v>
          </cell>
          <cell r="AH12">
            <v>40370.94</v>
          </cell>
        </row>
        <row r="13">
          <cell r="J13">
            <v>306998.28000000003</v>
          </cell>
          <cell r="M13">
            <v>658200.05000000005</v>
          </cell>
          <cell r="P13">
            <v>513642.62</v>
          </cell>
          <cell r="S13">
            <v>261985.37</v>
          </cell>
          <cell r="V13">
            <v>289675.75</v>
          </cell>
          <cell r="Y13">
            <v>946958.03</v>
          </cell>
          <cell r="AB13">
            <v>835190.94</v>
          </cell>
          <cell r="AE13">
            <v>456862.03</v>
          </cell>
          <cell r="AH13">
            <v>0</v>
          </cell>
        </row>
        <row r="14">
          <cell r="J14">
            <v>0</v>
          </cell>
          <cell r="M14">
            <v>0</v>
          </cell>
          <cell r="P14">
            <v>0</v>
          </cell>
          <cell r="S14">
            <v>0</v>
          </cell>
          <cell r="V14">
            <v>0</v>
          </cell>
          <cell r="Y14">
            <v>0</v>
          </cell>
          <cell r="AB14">
            <v>0</v>
          </cell>
          <cell r="AE14">
            <v>0</v>
          </cell>
          <cell r="AH14">
            <v>797481.52</v>
          </cell>
        </row>
        <row r="15">
          <cell r="J15">
            <v>0</v>
          </cell>
          <cell r="M15">
            <v>0</v>
          </cell>
          <cell r="P15">
            <v>0</v>
          </cell>
          <cell r="S15">
            <v>0</v>
          </cell>
          <cell r="V15">
            <v>0</v>
          </cell>
          <cell r="Y15">
            <v>0</v>
          </cell>
          <cell r="AB15">
            <v>0</v>
          </cell>
          <cell r="AE15">
            <v>0</v>
          </cell>
          <cell r="AH15">
            <v>99684.64</v>
          </cell>
        </row>
        <row r="16">
          <cell r="J16">
            <v>0</v>
          </cell>
          <cell r="M16">
            <v>0</v>
          </cell>
          <cell r="P16">
            <v>0</v>
          </cell>
          <cell r="S16">
            <v>0</v>
          </cell>
          <cell r="V16">
            <v>0</v>
          </cell>
          <cell r="Y16">
            <v>0</v>
          </cell>
          <cell r="AB16">
            <v>0</v>
          </cell>
          <cell r="AE16">
            <v>0</v>
          </cell>
          <cell r="AH16">
            <v>719965.58</v>
          </cell>
        </row>
        <row r="17">
          <cell r="J17">
            <v>0</v>
          </cell>
          <cell r="M17">
            <v>0</v>
          </cell>
          <cell r="P17">
            <v>0</v>
          </cell>
          <cell r="S17">
            <v>0</v>
          </cell>
          <cell r="V17">
            <v>0</v>
          </cell>
          <cell r="Y17">
            <v>0</v>
          </cell>
          <cell r="AB17">
            <v>0</v>
          </cell>
          <cell r="AE17">
            <v>6.07</v>
          </cell>
          <cell r="AH17">
            <v>5.82</v>
          </cell>
        </row>
        <row r="18">
          <cell r="J18">
            <v>293</v>
          </cell>
          <cell r="M18">
            <v>1516.92</v>
          </cell>
          <cell r="P18">
            <v>496.92</v>
          </cell>
          <cell r="S18">
            <v>61.92</v>
          </cell>
          <cell r="V18">
            <v>727.92</v>
          </cell>
          <cell r="Y18">
            <v>727.92</v>
          </cell>
          <cell r="AB18">
            <v>737.92</v>
          </cell>
          <cell r="AE18">
            <v>412.92</v>
          </cell>
          <cell r="AH18">
            <v>893.92</v>
          </cell>
        </row>
        <row r="19">
          <cell r="J19">
            <v>0</v>
          </cell>
          <cell r="M19">
            <v>0</v>
          </cell>
          <cell r="P19">
            <v>0</v>
          </cell>
          <cell r="S19">
            <v>0</v>
          </cell>
          <cell r="V19">
            <v>44.02</v>
          </cell>
          <cell r="Y19">
            <v>39.799999999999997</v>
          </cell>
          <cell r="AB19">
            <v>64.94</v>
          </cell>
          <cell r="AE19">
            <v>146.91999999999999</v>
          </cell>
          <cell r="AH19">
            <v>49.04</v>
          </cell>
        </row>
        <row r="20">
          <cell r="J20">
            <v>0</v>
          </cell>
          <cell r="M20">
            <v>0</v>
          </cell>
          <cell r="P20">
            <v>0</v>
          </cell>
          <cell r="S20">
            <v>0</v>
          </cell>
          <cell r="V20">
            <v>0</v>
          </cell>
          <cell r="Y20">
            <v>0</v>
          </cell>
          <cell r="AB20">
            <v>0</v>
          </cell>
          <cell r="AE20">
            <v>0</v>
          </cell>
          <cell r="AH20">
            <v>0</v>
          </cell>
        </row>
        <row r="21">
          <cell r="J21">
            <v>0</v>
          </cell>
          <cell r="M21">
            <v>0</v>
          </cell>
          <cell r="P21">
            <v>0</v>
          </cell>
          <cell r="S21">
            <v>0</v>
          </cell>
          <cell r="V21">
            <v>0</v>
          </cell>
          <cell r="Y21">
            <v>0</v>
          </cell>
          <cell r="AB21">
            <v>0</v>
          </cell>
          <cell r="AE21">
            <v>0</v>
          </cell>
          <cell r="AH21">
            <v>0</v>
          </cell>
        </row>
        <row r="22">
          <cell r="J22">
            <v>571.13</v>
          </cell>
          <cell r="M22">
            <v>-5617.64</v>
          </cell>
          <cell r="P22">
            <v>-9567.86</v>
          </cell>
          <cell r="S22">
            <v>-6716.13</v>
          </cell>
          <cell r="V22">
            <v>-6393.8</v>
          </cell>
          <cell r="Y22">
            <v>302.95999999999998</v>
          </cell>
          <cell r="AB22">
            <v>-5563.52</v>
          </cell>
          <cell r="AE22">
            <v>-5174.04</v>
          </cell>
          <cell r="AH22">
            <v>-13768.17</v>
          </cell>
        </row>
        <row r="23">
          <cell r="J23">
            <v>0</v>
          </cell>
          <cell r="M23">
            <v>0</v>
          </cell>
          <cell r="P23">
            <v>0</v>
          </cell>
          <cell r="S23">
            <v>0</v>
          </cell>
          <cell r="V23">
            <v>-1433.81</v>
          </cell>
          <cell r="Y23">
            <v>0</v>
          </cell>
          <cell r="AB23">
            <v>0</v>
          </cell>
          <cell r="AE23">
            <v>0</v>
          </cell>
          <cell r="AH23">
            <v>0</v>
          </cell>
        </row>
        <row r="24">
          <cell r="J24">
            <v>0</v>
          </cell>
          <cell r="M24">
            <v>0</v>
          </cell>
          <cell r="P24">
            <v>0</v>
          </cell>
          <cell r="S24">
            <v>0</v>
          </cell>
          <cell r="V24">
            <v>0</v>
          </cell>
          <cell r="Y24">
            <v>0</v>
          </cell>
          <cell r="AB24">
            <v>0</v>
          </cell>
          <cell r="AE24">
            <v>0</v>
          </cell>
          <cell r="AH24">
            <v>0</v>
          </cell>
        </row>
        <row r="25">
          <cell r="J25">
            <v>0</v>
          </cell>
          <cell r="M25">
            <v>0</v>
          </cell>
          <cell r="P25">
            <v>0</v>
          </cell>
          <cell r="S25">
            <v>1357.5</v>
          </cell>
          <cell r="V25">
            <v>1358</v>
          </cell>
          <cell r="Y25">
            <v>1358</v>
          </cell>
          <cell r="AB25">
            <v>1358</v>
          </cell>
          <cell r="AE25">
            <v>1358</v>
          </cell>
          <cell r="AH25">
            <v>0</v>
          </cell>
        </row>
        <row r="26">
          <cell r="J26">
            <v>-0.91</v>
          </cell>
          <cell r="M26">
            <v>27747.18</v>
          </cell>
          <cell r="P26">
            <v>22197.56</v>
          </cell>
          <cell r="S26">
            <v>18244.64</v>
          </cell>
          <cell r="V26">
            <v>12295.85</v>
          </cell>
          <cell r="Y26">
            <v>6347.06</v>
          </cell>
          <cell r="AB26">
            <v>398.28</v>
          </cell>
          <cell r="AE26">
            <v>45844.28</v>
          </cell>
          <cell r="AH26">
            <v>43768.49</v>
          </cell>
        </row>
        <row r="27">
          <cell r="J27">
            <v>0</v>
          </cell>
          <cell r="M27">
            <v>-112387.5</v>
          </cell>
          <cell r="P27">
            <v>-112387.5</v>
          </cell>
          <cell r="S27">
            <v>-112387.5</v>
          </cell>
          <cell r="V27">
            <v>-112387.5</v>
          </cell>
          <cell r="Y27">
            <v>-225057.85</v>
          </cell>
          <cell r="AB27">
            <v>-224775</v>
          </cell>
          <cell r="AE27">
            <v>-224775</v>
          </cell>
          <cell r="AH27">
            <v>-224775</v>
          </cell>
        </row>
        <row r="28">
          <cell r="J28">
            <v>740.9</v>
          </cell>
          <cell r="M28">
            <v>740.9</v>
          </cell>
          <cell r="P28">
            <v>740.9</v>
          </cell>
          <cell r="S28">
            <v>740.9</v>
          </cell>
          <cell r="V28">
            <v>740.9</v>
          </cell>
          <cell r="Y28">
            <v>2986.1</v>
          </cell>
          <cell r="AB28">
            <v>2986.1</v>
          </cell>
          <cell r="AE28">
            <v>2986.1</v>
          </cell>
          <cell r="AH28">
            <v>2986.1</v>
          </cell>
        </row>
        <row r="29">
          <cell r="J29">
            <v>11146.9</v>
          </cell>
          <cell r="M29">
            <v>11417.73</v>
          </cell>
          <cell r="P29">
            <v>11880.21</v>
          </cell>
          <cell r="S29">
            <v>12181.15</v>
          </cell>
          <cell r="V29">
            <v>12032.3</v>
          </cell>
          <cell r="Y29">
            <v>12109.81</v>
          </cell>
          <cell r="AB29">
            <v>12056.85</v>
          </cell>
          <cell r="AE29">
            <v>11623.1</v>
          </cell>
          <cell r="AH29">
            <v>11140.89</v>
          </cell>
        </row>
        <row r="30">
          <cell r="J30">
            <v>2993.53</v>
          </cell>
          <cell r="M30">
            <v>3066.26</v>
          </cell>
          <cell r="P30">
            <v>3190.46</v>
          </cell>
          <cell r="S30">
            <v>3271.28</v>
          </cell>
          <cell r="V30">
            <v>3231.31</v>
          </cell>
          <cell r="Y30">
            <v>3252.12</v>
          </cell>
          <cell r="AB30">
            <v>3237.9</v>
          </cell>
          <cell r="AE30">
            <v>3121.42</v>
          </cell>
          <cell r="AH30">
            <v>2991.92</v>
          </cell>
        </row>
        <row r="31">
          <cell r="J31">
            <v>2360.38</v>
          </cell>
          <cell r="M31">
            <v>2417.73</v>
          </cell>
          <cell r="P31">
            <v>2515.66</v>
          </cell>
          <cell r="S31">
            <v>2579.38</v>
          </cell>
          <cell r="V31">
            <v>2547.86</v>
          </cell>
          <cell r="Y31">
            <v>2564.2800000000002</v>
          </cell>
          <cell r="AB31">
            <v>2553.06</v>
          </cell>
          <cell r="AE31">
            <v>2461.21</v>
          </cell>
          <cell r="AH31">
            <v>2359.11</v>
          </cell>
        </row>
        <row r="32">
          <cell r="J32">
            <v>0</v>
          </cell>
          <cell r="M32">
            <v>0</v>
          </cell>
          <cell r="P32">
            <v>0</v>
          </cell>
          <cell r="S32">
            <v>0</v>
          </cell>
          <cell r="V32">
            <v>2035.5</v>
          </cell>
          <cell r="Y32">
            <v>2048.61</v>
          </cell>
          <cell r="AB32">
            <v>2039.65</v>
          </cell>
          <cell r="AE32">
            <v>1966.27</v>
          </cell>
          <cell r="AH32">
            <v>1884.7</v>
          </cell>
        </row>
        <row r="33">
          <cell r="J33">
            <v>0</v>
          </cell>
          <cell r="M33">
            <v>0</v>
          </cell>
          <cell r="P33">
            <v>0</v>
          </cell>
          <cell r="S33">
            <v>0</v>
          </cell>
          <cell r="V33">
            <v>0</v>
          </cell>
          <cell r="Y33">
            <v>0</v>
          </cell>
          <cell r="AB33">
            <v>0</v>
          </cell>
          <cell r="AE33">
            <v>2096.96</v>
          </cell>
          <cell r="AH33">
            <v>2009.97</v>
          </cell>
        </row>
        <row r="34">
          <cell r="J34">
            <v>42.96</v>
          </cell>
          <cell r="M34">
            <v>42.96</v>
          </cell>
          <cell r="P34">
            <v>42.96</v>
          </cell>
          <cell r="S34">
            <v>42.96</v>
          </cell>
          <cell r="V34">
            <v>42.96</v>
          </cell>
          <cell r="Y34">
            <v>42.96</v>
          </cell>
          <cell r="AB34">
            <v>42.96</v>
          </cell>
          <cell r="AE34">
            <v>42.96</v>
          </cell>
          <cell r="AH34">
            <v>42.96</v>
          </cell>
        </row>
        <row r="35">
          <cell r="J35">
            <v>0</v>
          </cell>
          <cell r="M35">
            <v>-3032.85</v>
          </cell>
          <cell r="P35">
            <v>0</v>
          </cell>
          <cell r="S35">
            <v>0</v>
          </cell>
          <cell r="V35">
            <v>0</v>
          </cell>
          <cell r="Y35">
            <v>0</v>
          </cell>
          <cell r="AB35">
            <v>0</v>
          </cell>
          <cell r="AE35">
            <v>0</v>
          </cell>
          <cell r="AH35">
            <v>0</v>
          </cell>
        </row>
        <row r="36">
          <cell r="J36">
            <v>37431.24</v>
          </cell>
          <cell r="M36">
            <v>39894.29</v>
          </cell>
          <cell r="P36">
            <v>39894.29</v>
          </cell>
          <cell r="S36">
            <v>39894.29</v>
          </cell>
          <cell r="V36">
            <v>39894.29</v>
          </cell>
          <cell r="Y36">
            <v>40937.14</v>
          </cell>
          <cell r="AB36">
            <v>40937.14</v>
          </cell>
          <cell r="AE36">
            <v>47237.9</v>
          </cell>
          <cell r="AH36">
            <v>48465.69</v>
          </cell>
        </row>
        <row r="37">
          <cell r="J37">
            <v>24214.080000000002</v>
          </cell>
          <cell r="M37">
            <v>24214.080000000002</v>
          </cell>
          <cell r="P37">
            <v>36150.79</v>
          </cell>
          <cell r="S37">
            <v>52301.96</v>
          </cell>
          <cell r="V37">
            <v>52301.96</v>
          </cell>
          <cell r="Y37">
            <v>61132.33</v>
          </cell>
          <cell r="AB37">
            <v>63371.73</v>
          </cell>
          <cell r="AE37">
            <v>64754.53</v>
          </cell>
          <cell r="AH37">
            <v>72004.3</v>
          </cell>
        </row>
        <row r="38">
          <cell r="J38">
            <v>34680.1</v>
          </cell>
          <cell r="M38">
            <v>35348.85</v>
          </cell>
          <cell r="P38">
            <v>35348.85</v>
          </cell>
          <cell r="S38">
            <v>35348.85</v>
          </cell>
          <cell r="V38">
            <v>36765.160000000003</v>
          </cell>
          <cell r="Y38">
            <v>55120.93</v>
          </cell>
          <cell r="AB38">
            <v>58538.21</v>
          </cell>
          <cell r="AE38">
            <v>59354.54</v>
          </cell>
          <cell r="AH38">
            <v>81798.350000000006</v>
          </cell>
        </row>
        <row r="39">
          <cell r="J39">
            <v>0</v>
          </cell>
          <cell r="M39">
            <v>0</v>
          </cell>
          <cell r="P39">
            <v>818.73</v>
          </cell>
          <cell r="S39">
            <v>839.47</v>
          </cell>
          <cell r="V39">
            <v>829.21</v>
          </cell>
          <cell r="Y39">
            <v>834.55</v>
          </cell>
          <cell r="AB39">
            <v>830.9</v>
          </cell>
          <cell r="AE39">
            <v>2006.65</v>
          </cell>
          <cell r="AH39">
            <v>4933.43</v>
          </cell>
        </row>
        <row r="40">
          <cell r="J40">
            <v>170144.91</v>
          </cell>
          <cell r="M40">
            <v>192637.61</v>
          </cell>
          <cell r="P40">
            <v>199073.37</v>
          </cell>
          <cell r="S40">
            <v>204085.38</v>
          </cell>
          <cell r="V40">
            <v>204085.38</v>
          </cell>
          <cell r="Y40">
            <v>205650.6</v>
          </cell>
          <cell r="AB40">
            <v>206172.21</v>
          </cell>
          <cell r="AE40">
            <v>209130.31</v>
          </cell>
          <cell r="AH40">
            <v>210234.4</v>
          </cell>
        </row>
        <row r="41">
          <cell r="J41">
            <v>-3603.12</v>
          </cell>
          <cell r="M41">
            <v>-3816.88</v>
          </cell>
          <cell r="P41">
            <v>-4054.06</v>
          </cell>
          <cell r="S41">
            <v>-4283.59</v>
          </cell>
          <cell r="V41">
            <v>-4520.7700000000004</v>
          </cell>
          <cell r="Y41">
            <v>-4753.58</v>
          </cell>
          <cell r="AB41">
            <v>-4996.96</v>
          </cell>
          <cell r="AE41">
            <v>-5278.8</v>
          </cell>
          <cell r="AH41">
            <v>-5562.54</v>
          </cell>
        </row>
        <row r="42">
          <cell r="J42">
            <v>-3266.99</v>
          </cell>
          <cell r="M42">
            <v>-3452.74</v>
          </cell>
          <cell r="P42">
            <v>-3743.42</v>
          </cell>
          <cell r="S42">
            <v>-4102.5</v>
          </cell>
          <cell r="V42">
            <v>-4546.71</v>
          </cell>
          <cell r="Y42">
            <v>-5049.17</v>
          </cell>
          <cell r="AB42">
            <v>-5583.1</v>
          </cell>
          <cell r="AE42">
            <v>-6121.33</v>
          </cell>
          <cell r="AH42">
            <v>-6681.41</v>
          </cell>
        </row>
        <row r="43">
          <cell r="J43">
            <v>-14849.7</v>
          </cell>
          <cell r="M43">
            <v>-15734.87</v>
          </cell>
          <cell r="P43">
            <v>-16725.61</v>
          </cell>
          <cell r="S43">
            <v>-17684.39</v>
          </cell>
          <cell r="V43">
            <v>-18712.259999999998</v>
          </cell>
          <cell r="Y43">
            <v>-20207.32</v>
          </cell>
          <cell r="AB43">
            <v>-21848</v>
          </cell>
          <cell r="AE43">
            <v>-23511.56</v>
          </cell>
          <cell r="AH43">
            <v>-25532.880000000001</v>
          </cell>
        </row>
        <row r="44">
          <cell r="J44">
            <v>-1437.82</v>
          </cell>
          <cell r="M44">
            <v>-1437.82</v>
          </cell>
          <cell r="P44">
            <v>-1444.04</v>
          </cell>
          <cell r="S44">
            <v>-1453.86</v>
          </cell>
          <cell r="V44">
            <v>-1464.01</v>
          </cell>
          <cell r="Y44">
            <v>-1473.83</v>
          </cell>
          <cell r="AB44">
            <v>-1483.98</v>
          </cell>
          <cell r="AE44">
            <v>-1501.14</v>
          </cell>
          <cell r="AH44">
            <v>-1534.09</v>
          </cell>
        </row>
        <row r="45">
          <cell r="J45">
            <v>-13688.32</v>
          </cell>
          <cell r="M45">
            <v>-15229.28</v>
          </cell>
          <cell r="P45">
            <v>-17108.09</v>
          </cell>
          <cell r="S45">
            <v>-18967.48</v>
          </cell>
          <cell r="V45">
            <v>-20888.86</v>
          </cell>
          <cell r="Y45">
            <v>-22751.68</v>
          </cell>
          <cell r="AB45">
            <v>-24688.92</v>
          </cell>
          <cell r="AE45">
            <v>-26636.94</v>
          </cell>
          <cell r="AH45">
            <v>-28540.82</v>
          </cell>
        </row>
        <row r="46">
          <cell r="J46">
            <v>4584.91</v>
          </cell>
          <cell r="M46">
            <v>14019.05</v>
          </cell>
          <cell r="P46">
            <v>18200.009999999998</v>
          </cell>
          <cell r="S46">
            <v>18146.63</v>
          </cell>
          <cell r="V46">
            <v>19412.52</v>
          </cell>
          <cell r="Y46">
            <v>27114.68</v>
          </cell>
          <cell r="AB46">
            <v>15776.74</v>
          </cell>
          <cell r="AE46">
            <v>24490.9</v>
          </cell>
          <cell r="AH46">
            <v>36046.660000000003</v>
          </cell>
        </row>
        <row r="47">
          <cell r="J47">
            <v>0</v>
          </cell>
          <cell r="M47">
            <v>-5604.64</v>
          </cell>
          <cell r="P47">
            <v>-5831.66</v>
          </cell>
          <cell r="S47">
            <v>0</v>
          </cell>
          <cell r="V47">
            <v>0</v>
          </cell>
          <cell r="Y47">
            <v>0</v>
          </cell>
          <cell r="AB47">
            <v>-9469.39</v>
          </cell>
          <cell r="AE47">
            <v>0</v>
          </cell>
          <cell r="AH47">
            <v>0</v>
          </cell>
        </row>
        <row r="48">
          <cell r="J48">
            <v>-3209.3499999999995</v>
          </cell>
          <cell r="M48">
            <v>-4395.3599999999997</v>
          </cell>
          <cell r="P48">
            <v>12838.26</v>
          </cell>
          <cell r="S48">
            <v>2674.52</v>
          </cell>
          <cell r="V48">
            <v>2641.84</v>
          </cell>
          <cell r="Y48">
            <v>2658.86</v>
          </cell>
          <cell r="AB48">
            <v>2647.23</v>
          </cell>
          <cell r="AE48">
            <v>2552</v>
          </cell>
          <cell r="AH48">
            <v>0</v>
          </cell>
        </row>
        <row r="49">
          <cell r="J49">
            <v>-1544.27</v>
          </cell>
          <cell r="M49">
            <v>-17598.730000000003</v>
          </cell>
          <cell r="P49">
            <v>-21299.13</v>
          </cell>
          <cell r="S49">
            <v>-33828.239999999998</v>
          </cell>
          <cell r="V49">
            <v>-28354.09</v>
          </cell>
          <cell r="Y49">
            <v>-57142.42</v>
          </cell>
          <cell r="AB49">
            <v>72172.22</v>
          </cell>
          <cell r="AE49">
            <v>92801.65</v>
          </cell>
          <cell r="AH49">
            <v>95549.4</v>
          </cell>
        </row>
        <row r="50">
          <cell r="J50">
            <v>0</v>
          </cell>
          <cell r="M50">
            <v>0</v>
          </cell>
          <cell r="P50">
            <v>0</v>
          </cell>
          <cell r="S50">
            <v>0</v>
          </cell>
          <cell r="V50">
            <v>0</v>
          </cell>
          <cell r="Y50">
            <v>0</v>
          </cell>
          <cell r="AB50">
            <v>0</v>
          </cell>
          <cell r="AE50">
            <v>0</v>
          </cell>
          <cell r="AH50">
            <v>0</v>
          </cell>
        </row>
        <row r="51">
          <cell r="J51">
            <v>528.59</v>
          </cell>
          <cell r="M51">
            <v>13380.1</v>
          </cell>
          <cell r="P51">
            <v>5206.47</v>
          </cell>
          <cell r="S51">
            <v>2023.96</v>
          </cell>
          <cell r="V51">
            <v>-9481.43</v>
          </cell>
          <cell r="Y51">
            <v>2760.86</v>
          </cell>
          <cell r="AB51">
            <v>6991.42</v>
          </cell>
          <cell r="AE51">
            <v>25940.29</v>
          </cell>
          <cell r="AH51">
            <v>12338.8</v>
          </cell>
        </row>
        <row r="52">
          <cell r="J52">
            <v>1355.11</v>
          </cell>
          <cell r="M52">
            <v>1464.17</v>
          </cell>
          <cell r="P52">
            <v>2167.2600000000002</v>
          </cell>
          <cell r="S52">
            <v>2083.6</v>
          </cell>
          <cell r="V52">
            <v>3081.33</v>
          </cell>
          <cell r="Y52">
            <v>3156.77</v>
          </cell>
          <cell r="AB52">
            <v>3301.22</v>
          </cell>
          <cell r="AE52">
            <v>3274.82</v>
          </cell>
          <cell r="AH52">
            <v>303.08</v>
          </cell>
        </row>
        <row r="53">
          <cell r="J53">
            <v>1643.67</v>
          </cell>
          <cell r="M53">
            <v>2642.74</v>
          </cell>
          <cell r="P53">
            <v>5555.01</v>
          </cell>
          <cell r="S53">
            <v>5142.2700000000004</v>
          </cell>
          <cell r="V53">
            <v>5089.03</v>
          </cell>
          <cell r="Y53">
            <v>7927.96</v>
          </cell>
          <cell r="AB53">
            <v>7893.29</v>
          </cell>
          <cell r="AE53">
            <v>7600.06</v>
          </cell>
          <cell r="AH53">
            <v>13.47</v>
          </cell>
        </row>
        <row r="54">
          <cell r="J54">
            <v>1569.81</v>
          </cell>
          <cell r="M54">
            <v>1607.95</v>
          </cell>
          <cell r="P54">
            <v>1673.08</v>
          </cell>
          <cell r="S54">
            <v>1715.46</v>
          </cell>
          <cell r="V54">
            <v>1694.5</v>
          </cell>
          <cell r="Y54">
            <v>1705.42</v>
          </cell>
          <cell r="AB54">
            <v>1697.96</v>
          </cell>
          <cell r="AE54">
            <v>1636.87</v>
          </cell>
          <cell r="AH54">
            <v>1568.97</v>
          </cell>
        </row>
        <row r="55">
          <cell r="J55">
            <v>0</v>
          </cell>
          <cell r="M55">
            <v>0</v>
          </cell>
          <cell r="P55">
            <v>0</v>
          </cell>
          <cell r="S55">
            <v>0</v>
          </cell>
          <cell r="V55">
            <v>0</v>
          </cell>
          <cell r="Y55">
            <v>0</v>
          </cell>
          <cell r="AB55">
            <v>0</v>
          </cell>
          <cell r="AE55">
            <v>0</v>
          </cell>
          <cell r="AH55">
            <v>0</v>
          </cell>
        </row>
        <row r="56">
          <cell r="J56">
            <v>0</v>
          </cell>
          <cell r="M56">
            <v>0</v>
          </cell>
          <cell r="P56">
            <v>0</v>
          </cell>
          <cell r="S56">
            <v>0</v>
          </cell>
          <cell r="V56">
            <v>0</v>
          </cell>
          <cell r="Y56">
            <v>0</v>
          </cell>
          <cell r="AB56">
            <v>0</v>
          </cell>
          <cell r="AE56">
            <v>0</v>
          </cell>
          <cell r="AH56">
            <v>0</v>
          </cell>
        </row>
        <row r="57">
          <cell r="J57">
            <v>0</v>
          </cell>
          <cell r="M57">
            <v>0</v>
          </cell>
          <cell r="P57">
            <v>0</v>
          </cell>
          <cell r="S57">
            <v>0</v>
          </cell>
          <cell r="V57">
            <v>0</v>
          </cell>
          <cell r="Y57">
            <v>0</v>
          </cell>
          <cell r="AB57">
            <v>0</v>
          </cell>
          <cell r="AE57">
            <v>0</v>
          </cell>
          <cell r="AH57">
            <v>0</v>
          </cell>
        </row>
        <row r="58">
          <cell r="J58">
            <v>-5869.5</v>
          </cell>
          <cell r="M58">
            <v>-5869.5</v>
          </cell>
          <cell r="P58">
            <v>-5869.5</v>
          </cell>
          <cell r="S58">
            <v>-4485.25</v>
          </cell>
          <cell r="V58">
            <v>-4485.25</v>
          </cell>
          <cell r="Y58">
            <v>-2525.11</v>
          </cell>
          <cell r="AB58">
            <v>-2525.11</v>
          </cell>
          <cell r="AE58">
            <v>-6146.69</v>
          </cell>
          <cell r="AH58">
            <v>-4901.21</v>
          </cell>
        </row>
        <row r="59">
          <cell r="J59">
            <v>3980.82</v>
          </cell>
          <cell r="M59">
            <v>3980.82</v>
          </cell>
          <cell r="P59">
            <v>3980.82</v>
          </cell>
          <cell r="S59">
            <v>3980.82</v>
          </cell>
          <cell r="V59">
            <v>3980.82</v>
          </cell>
          <cell r="Y59">
            <v>3980.82</v>
          </cell>
          <cell r="AB59">
            <v>3980.82</v>
          </cell>
          <cell r="AE59">
            <v>3980.82</v>
          </cell>
          <cell r="AH59">
            <v>270.64</v>
          </cell>
        </row>
        <row r="60">
          <cell r="J60">
            <v>0</v>
          </cell>
          <cell r="M60">
            <v>0</v>
          </cell>
          <cell r="P60">
            <v>0</v>
          </cell>
          <cell r="S60">
            <v>0</v>
          </cell>
          <cell r="V60">
            <v>0</v>
          </cell>
          <cell r="Y60">
            <v>0</v>
          </cell>
          <cell r="AB60">
            <v>0</v>
          </cell>
          <cell r="AE60">
            <v>5281.88</v>
          </cell>
          <cell r="AH60">
            <v>-1229</v>
          </cell>
        </row>
        <row r="61">
          <cell r="J61">
            <v>0</v>
          </cell>
          <cell r="M61">
            <v>2715</v>
          </cell>
          <cell r="P61">
            <v>2715</v>
          </cell>
          <cell r="S61">
            <v>0</v>
          </cell>
          <cell r="V61">
            <v>0</v>
          </cell>
          <cell r="Y61">
            <v>0</v>
          </cell>
          <cell r="AB61">
            <v>-2715</v>
          </cell>
          <cell r="AE61">
            <v>-2715</v>
          </cell>
          <cell r="AH61">
            <v>-2715</v>
          </cell>
        </row>
        <row r="62">
          <cell r="J62">
            <v>0</v>
          </cell>
          <cell r="M62">
            <v>0</v>
          </cell>
          <cell r="P62">
            <v>0</v>
          </cell>
          <cell r="S62">
            <v>0</v>
          </cell>
          <cell r="V62">
            <v>0</v>
          </cell>
          <cell r="Y62">
            <v>0</v>
          </cell>
          <cell r="AB62">
            <v>0</v>
          </cell>
          <cell r="AE62">
            <v>0</v>
          </cell>
          <cell r="AH62">
            <v>0</v>
          </cell>
        </row>
        <row r="63">
          <cell r="J63">
            <v>3778.82</v>
          </cell>
          <cell r="M63">
            <v>3870.63</v>
          </cell>
          <cell r="P63">
            <v>4027.41</v>
          </cell>
          <cell r="S63">
            <v>4129.43</v>
          </cell>
          <cell r="V63">
            <v>4078.97</v>
          </cell>
          <cell r="Y63">
            <v>4105.25</v>
          </cell>
          <cell r="AB63">
            <v>4087.3</v>
          </cell>
          <cell r="AE63">
            <v>3940.26</v>
          </cell>
          <cell r="AH63">
            <v>3776.79</v>
          </cell>
        </row>
        <row r="64">
          <cell r="J64">
            <v>0</v>
          </cell>
          <cell r="M64">
            <v>0</v>
          </cell>
          <cell r="P64">
            <v>0</v>
          </cell>
          <cell r="S64">
            <v>0</v>
          </cell>
          <cell r="V64">
            <v>0</v>
          </cell>
          <cell r="Y64">
            <v>0</v>
          </cell>
          <cell r="AB64">
            <v>0</v>
          </cell>
          <cell r="AE64">
            <v>0</v>
          </cell>
          <cell r="AH64">
            <v>0</v>
          </cell>
        </row>
        <row r="65">
          <cell r="J65">
            <v>-1051.21</v>
          </cell>
          <cell r="M65">
            <v>0</v>
          </cell>
          <cell r="P65">
            <v>0</v>
          </cell>
          <cell r="S65">
            <v>0</v>
          </cell>
          <cell r="V65">
            <v>0</v>
          </cell>
          <cell r="Y65">
            <v>0</v>
          </cell>
          <cell r="AB65">
            <v>-813.41</v>
          </cell>
          <cell r="AE65">
            <v>393.48</v>
          </cell>
          <cell r="AH65">
            <v>377.16</v>
          </cell>
        </row>
        <row r="66">
          <cell r="J66">
            <v>0</v>
          </cell>
          <cell r="M66">
            <v>0</v>
          </cell>
          <cell r="P66">
            <v>0</v>
          </cell>
          <cell r="S66">
            <v>0</v>
          </cell>
          <cell r="V66">
            <v>0</v>
          </cell>
          <cell r="Y66">
            <v>863.84</v>
          </cell>
          <cell r="AB66">
            <v>0</v>
          </cell>
          <cell r="AE66">
            <v>0</v>
          </cell>
          <cell r="AH66">
            <v>0</v>
          </cell>
        </row>
        <row r="67">
          <cell r="J67">
            <v>-30.25</v>
          </cell>
          <cell r="M67">
            <v>1028.07</v>
          </cell>
          <cell r="P67">
            <v>421.93</v>
          </cell>
          <cell r="S67">
            <v>690.13</v>
          </cell>
          <cell r="V67">
            <v>35.76</v>
          </cell>
          <cell r="Y67">
            <v>686.09</v>
          </cell>
          <cell r="AB67">
            <v>544.29999999999995</v>
          </cell>
          <cell r="AE67">
            <v>898.45</v>
          </cell>
          <cell r="AH67">
            <v>1062.32</v>
          </cell>
        </row>
        <row r="68">
          <cell r="J68">
            <v>0</v>
          </cell>
          <cell r="M68">
            <v>0</v>
          </cell>
          <cell r="P68">
            <v>0</v>
          </cell>
          <cell r="S68">
            <v>0</v>
          </cell>
          <cell r="V68">
            <v>0</v>
          </cell>
          <cell r="Y68">
            <v>0</v>
          </cell>
          <cell r="AB68">
            <v>0</v>
          </cell>
          <cell r="AE68">
            <v>0</v>
          </cell>
          <cell r="AH68">
            <v>-1272.82</v>
          </cell>
        </row>
        <row r="69">
          <cell r="J69">
            <v>0</v>
          </cell>
          <cell r="M69">
            <v>0</v>
          </cell>
          <cell r="P69">
            <v>0</v>
          </cell>
          <cell r="S69">
            <v>0</v>
          </cell>
          <cell r="V69">
            <v>0</v>
          </cell>
          <cell r="Y69">
            <v>0</v>
          </cell>
          <cell r="AB69">
            <v>0</v>
          </cell>
          <cell r="AE69">
            <v>0</v>
          </cell>
          <cell r="AH69">
            <v>0</v>
          </cell>
        </row>
        <row r="70">
          <cell r="J70">
            <v>-564.27</v>
          </cell>
          <cell r="M70">
            <v>-817.28</v>
          </cell>
          <cell r="P70">
            <v>-9</v>
          </cell>
          <cell r="S70">
            <v>344.68</v>
          </cell>
          <cell r="V70">
            <v>378.32</v>
          </cell>
          <cell r="Y70">
            <v>-15.41</v>
          </cell>
          <cell r="AB70">
            <v>207.2</v>
          </cell>
          <cell r="AE70">
            <v>343.9</v>
          </cell>
          <cell r="AH70">
            <v>-510.05</v>
          </cell>
        </row>
        <row r="71">
          <cell r="J71">
            <v>0</v>
          </cell>
          <cell r="M71">
            <v>0</v>
          </cell>
          <cell r="P71">
            <v>0</v>
          </cell>
          <cell r="S71">
            <v>0</v>
          </cell>
          <cell r="V71">
            <v>0</v>
          </cell>
          <cell r="Y71">
            <v>0</v>
          </cell>
          <cell r="AB71">
            <v>0</v>
          </cell>
          <cell r="AE71">
            <v>0</v>
          </cell>
          <cell r="AH71">
            <v>0</v>
          </cell>
        </row>
        <row r="72">
          <cell r="J72">
            <v>0</v>
          </cell>
          <cell r="M72">
            <v>0</v>
          </cell>
          <cell r="P72">
            <v>0</v>
          </cell>
          <cell r="S72">
            <v>0</v>
          </cell>
          <cell r="V72">
            <v>0</v>
          </cell>
          <cell r="Y72">
            <v>0</v>
          </cell>
          <cell r="AB72">
            <v>0</v>
          </cell>
          <cell r="AE72">
            <v>0</v>
          </cell>
          <cell r="AH72">
            <v>0</v>
          </cell>
        </row>
        <row r="73">
          <cell r="J73">
            <v>-443.82</v>
          </cell>
          <cell r="M73">
            <v>-2155.0500000000002</v>
          </cell>
          <cell r="P73">
            <v>3319.46</v>
          </cell>
          <cell r="S73">
            <v>3403.54</v>
          </cell>
          <cell r="V73">
            <v>12587.37</v>
          </cell>
          <cell r="Y73">
            <v>3383.61</v>
          </cell>
          <cell r="AB73">
            <v>3368.81</v>
          </cell>
          <cell r="AE73">
            <v>3247.62</v>
          </cell>
          <cell r="AH73">
            <v>3112.89</v>
          </cell>
        </row>
        <row r="74">
          <cell r="J74">
            <v>0</v>
          </cell>
          <cell r="M74">
            <v>0</v>
          </cell>
          <cell r="P74">
            <v>0</v>
          </cell>
          <cell r="S74">
            <v>0</v>
          </cell>
          <cell r="V74">
            <v>0</v>
          </cell>
          <cell r="Y74">
            <v>0</v>
          </cell>
          <cell r="AB74">
            <v>0</v>
          </cell>
          <cell r="AE74">
            <v>0</v>
          </cell>
          <cell r="AH74">
            <v>0</v>
          </cell>
        </row>
        <row r="75">
          <cell r="J75">
            <v>-571.51</v>
          </cell>
          <cell r="M75">
            <v>-585.39</v>
          </cell>
          <cell r="P75">
            <v>-609.11</v>
          </cell>
          <cell r="S75">
            <v>-624.54</v>
          </cell>
          <cell r="V75">
            <v>-616.9</v>
          </cell>
          <cell r="Y75">
            <v>-620.88</v>
          </cell>
          <cell r="AB75">
            <v>-618.16</v>
          </cell>
          <cell r="AE75">
            <v>-595.91999999999996</v>
          </cell>
          <cell r="AH75">
            <v>-571.20000000000005</v>
          </cell>
        </row>
        <row r="76">
          <cell r="J76">
            <v>0</v>
          </cell>
          <cell r="M76">
            <v>0</v>
          </cell>
          <cell r="P76">
            <v>0</v>
          </cell>
          <cell r="S76">
            <v>73.64</v>
          </cell>
          <cell r="V76">
            <v>-72.739999999999995</v>
          </cell>
          <cell r="Y76">
            <v>-219.62</v>
          </cell>
          <cell r="AB76">
            <v>-218.66</v>
          </cell>
          <cell r="AE76">
            <v>-210.79</v>
          </cell>
          <cell r="AH76">
            <v>0</v>
          </cell>
        </row>
        <row r="77">
          <cell r="J77">
            <v>-529.66</v>
          </cell>
          <cell r="M77">
            <v>-501.54</v>
          </cell>
          <cell r="P77">
            <v>-1711.84</v>
          </cell>
          <cell r="S77">
            <v>-168.68</v>
          </cell>
          <cell r="V77">
            <v>-776.83</v>
          </cell>
          <cell r="Y77">
            <v>-136.44999999999999</v>
          </cell>
          <cell r="AB77">
            <v>-1956.34</v>
          </cell>
          <cell r="AE77">
            <v>-1815.54</v>
          </cell>
          <cell r="AH77">
            <v>-2913.03</v>
          </cell>
        </row>
        <row r="78">
          <cell r="J78">
            <v>0</v>
          </cell>
          <cell r="M78">
            <v>-15372.72</v>
          </cell>
          <cell r="P78">
            <v>-13789.14</v>
          </cell>
          <cell r="S78">
            <v>-14138.44</v>
          </cell>
          <cell r="V78">
            <v>-13965.67</v>
          </cell>
          <cell r="Y78">
            <v>0</v>
          </cell>
          <cell r="AB78">
            <v>0</v>
          </cell>
          <cell r="AE78">
            <v>0</v>
          </cell>
          <cell r="AH78">
            <v>0</v>
          </cell>
        </row>
        <row r="79">
          <cell r="J79">
            <v>0</v>
          </cell>
          <cell r="M79">
            <v>0</v>
          </cell>
          <cell r="P79">
            <v>-1150.82</v>
          </cell>
          <cell r="S79">
            <v>0</v>
          </cell>
          <cell r="V79">
            <v>1165.55</v>
          </cell>
          <cell r="Y79">
            <v>1173.06</v>
          </cell>
          <cell r="AB79">
            <v>-252.48</v>
          </cell>
          <cell r="AE79">
            <v>-711.64</v>
          </cell>
          <cell r="AH79">
            <v>-5768.05</v>
          </cell>
        </row>
        <row r="80">
          <cell r="J80">
            <v>0</v>
          </cell>
          <cell r="M80">
            <v>0</v>
          </cell>
          <cell r="P80">
            <v>0</v>
          </cell>
          <cell r="S80">
            <v>0</v>
          </cell>
          <cell r="V80">
            <v>0</v>
          </cell>
          <cell r="Y80">
            <v>0</v>
          </cell>
          <cell r="AB80">
            <v>0</v>
          </cell>
          <cell r="AE80">
            <v>0</v>
          </cell>
          <cell r="AH80">
            <v>0</v>
          </cell>
        </row>
        <row r="81">
          <cell r="J81">
            <v>-4331.95</v>
          </cell>
          <cell r="M81">
            <v>0</v>
          </cell>
          <cell r="P81">
            <v>-4417.26</v>
          </cell>
          <cell r="S81">
            <v>0</v>
          </cell>
          <cell r="V81">
            <v>0</v>
          </cell>
          <cell r="Y81">
            <v>-5789.66</v>
          </cell>
          <cell r="AB81">
            <v>0</v>
          </cell>
          <cell r="AE81">
            <v>0</v>
          </cell>
          <cell r="AH81">
            <v>0</v>
          </cell>
        </row>
        <row r="82">
          <cell r="J82">
            <v>0</v>
          </cell>
          <cell r="M82">
            <v>0</v>
          </cell>
          <cell r="P82">
            <v>0</v>
          </cell>
          <cell r="S82">
            <v>0</v>
          </cell>
          <cell r="V82">
            <v>0</v>
          </cell>
          <cell r="Y82">
            <v>0</v>
          </cell>
          <cell r="AB82">
            <v>0</v>
          </cell>
          <cell r="AE82">
            <v>0</v>
          </cell>
          <cell r="AH82">
            <v>0</v>
          </cell>
        </row>
        <row r="83">
          <cell r="J83">
            <v>0</v>
          </cell>
          <cell r="M83">
            <v>0</v>
          </cell>
          <cell r="P83">
            <v>0</v>
          </cell>
          <cell r="S83">
            <v>0</v>
          </cell>
          <cell r="V83">
            <v>0</v>
          </cell>
          <cell r="Y83">
            <v>0</v>
          </cell>
          <cell r="AB83">
            <v>0</v>
          </cell>
          <cell r="AE83">
            <v>0</v>
          </cell>
          <cell r="AH83">
            <v>0</v>
          </cell>
        </row>
        <row r="84">
          <cell r="J84">
            <v>0</v>
          </cell>
          <cell r="M84">
            <v>0</v>
          </cell>
          <cell r="P84">
            <v>0</v>
          </cell>
          <cell r="S84">
            <v>0</v>
          </cell>
          <cell r="V84">
            <v>0</v>
          </cell>
          <cell r="Y84">
            <v>192.6</v>
          </cell>
          <cell r="AB84">
            <v>191.76</v>
          </cell>
          <cell r="AE84">
            <v>184.86</v>
          </cell>
          <cell r="AH84">
            <v>177.19</v>
          </cell>
        </row>
        <row r="85">
          <cell r="J85">
            <v>0</v>
          </cell>
          <cell r="M85">
            <v>0</v>
          </cell>
          <cell r="P85">
            <v>0</v>
          </cell>
          <cell r="S85">
            <v>0</v>
          </cell>
          <cell r="V85">
            <v>0</v>
          </cell>
          <cell r="Y85">
            <v>0</v>
          </cell>
          <cell r="AB85">
            <v>0</v>
          </cell>
          <cell r="AE85">
            <v>0</v>
          </cell>
          <cell r="AH85">
            <v>0</v>
          </cell>
        </row>
        <row r="86">
          <cell r="J86">
            <v>0</v>
          </cell>
          <cell r="M86">
            <v>0</v>
          </cell>
          <cell r="P86">
            <v>0</v>
          </cell>
          <cell r="S86">
            <v>0</v>
          </cell>
          <cell r="V86">
            <v>0</v>
          </cell>
          <cell r="Y86">
            <v>0</v>
          </cell>
          <cell r="AB86">
            <v>0</v>
          </cell>
          <cell r="AE86">
            <v>0</v>
          </cell>
          <cell r="AH86">
            <v>0</v>
          </cell>
        </row>
        <row r="87">
          <cell r="J87">
            <v>0</v>
          </cell>
          <cell r="M87">
            <v>-99.92</v>
          </cell>
          <cell r="P87">
            <v>-418.55</v>
          </cell>
          <cell r="S87">
            <v>-105.92</v>
          </cell>
          <cell r="V87">
            <v>-151.88</v>
          </cell>
          <cell r="Y87">
            <v>0</v>
          </cell>
          <cell r="AB87">
            <v>-459.94</v>
          </cell>
          <cell r="AE87">
            <v>-352.11</v>
          </cell>
          <cell r="AH87">
            <v>0</v>
          </cell>
        </row>
        <row r="88">
          <cell r="J88">
            <v>0</v>
          </cell>
          <cell r="M88">
            <v>0</v>
          </cell>
          <cell r="P88">
            <v>0</v>
          </cell>
          <cell r="S88">
            <v>0</v>
          </cell>
          <cell r="V88">
            <v>0</v>
          </cell>
          <cell r="Y88">
            <v>0</v>
          </cell>
          <cell r="AB88">
            <v>0</v>
          </cell>
          <cell r="AE88">
            <v>0</v>
          </cell>
          <cell r="AH88">
            <v>0</v>
          </cell>
        </row>
        <row r="89">
          <cell r="J89">
            <v>-162.53</v>
          </cell>
          <cell r="M89">
            <v>-506.9</v>
          </cell>
          <cell r="P89">
            <v>-324.33</v>
          </cell>
          <cell r="S89">
            <v>-502.5</v>
          </cell>
          <cell r="V89">
            <v>-30.26</v>
          </cell>
          <cell r="Y89">
            <v>-30.45</v>
          </cell>
          <cell r="AB89">
            <v>-683.09</v>
          </cell>
          <cell r="AE89">
            <v>-278.25</v>
          </cell>
          <cell r="AH89">
            <v>-232.76</v>
          </cell>
        </row>
        <row r="90">
          <cell r="J90">
            <v>0</v>
          </cell>
          <cell r="M90">
            <v>-5573.6</v>
          </cell>
          <cell r="P90">
            <v>-1251.45</v>
          </cell>
          <cell r="S90">
            <v>-1459.65</v>
          </cell>
          <cell r="V90">
            <v>0</v>
          </cell>
          <cell r="Y90">
            <v>0</v>
          </cell>
          <cell r="AB90">
            <v>0</v>
          </cell>
          <cell r="AE90">
            <v>0</v>
          </cell>
          <cell r="AH90">
            <v>0</v>
          </cell>
        </row>
        <row r="91">
          <cell r="J91">
            <v>0</v>
          </cell>
          <cell r="M91">
            <v>0</v>
          </cell>
          <cell r="P91">
            <v>0</v>
          </cell>
          <cell r="S91">
            <v>-218.56</v>
          </cell>
          <cell r="V91">
            <v>-215.89</v>
          </cell>
          <cell r="Y91">
            <v>0</v>
          </cell>
          <cell r="AB91">
            <v>-879.01</v>
          </cell>
          <cell r="AE91">
            <v>0</v>
          </cell>
          <cell r="AH91">
            <v>0</v>
          </cell>
        </row>
        <row r="92">
          <cell r="J92">
            <v>0</v>
          </cell>
          <cell r="M92">
            <v>-38.65</v>
          </cell>
          <cell r="P92">
            <v>-40.22</v>
          </cell>
          <cell r="S92">
            <v>-41.24</v>
          </cell>
          <cell r="V92">
            <v>611</v>
          </cell>
          <cell r="Y92">
            <v>696.93</v>
          </cell>
          <cell r="AB92">
            <v>-40.82</v>
          </cell>
          <cell r="AE92">
            <v>-39.35</v>
          </cell>
          <cell r="AH92">
            <v>37.72</v>
          </cell>
        </row>
        <row r="93">
          <cell r="J93">
            <v>-165.38</v>
          </cell>
          <cell r="M93">
            <v>-177.46</v>
          </cell>
          <cell r="P93">
            <v>-179.84</v>
          </cell>
          <cell r="S93">
            <v>-196.56</v>
          </cell>
          <cell r="V93">
            <v>-258.95</v>
          </cell>
          <cell r="Y93">
            <v>0</v>
          </cell>
          <cell r="AB93">
            <v>-234.75</v>
          </cell>
          <cell r="AE93">
            <v>-228.02</v>
          </cell>
          <cell r="AH93">
            <v>-188.27</v>
          </cell>
        </row>
        <row r="94">
          <cell r="J94">
            <v>0</v>
          </cell>
          <cell r="M94">
            <v>0</v>
          </cell>
          <cell r="P94">
            <v>0</v>
          </cell>
          <cell r="S94">
            <v>0</v>
          </cell>
          <cell r="V94">
            <v>0</v>
          </cell>
          <cell r="Y94">
            <v>0</v>
          </cell>
          <cell r="AB94">
            <v>0</v>
          </cell>
          <cell r="AE94">
            <v>0</v>
          </cell>
          <cell r="AH94">
            <v>0</v>
          </cell>
        </row>
        <row r="95">
          <cell r="J95">
            <v>0</v>
          </cell>
          <cell r="M95">
            <v>0</v>
          </cell>
          <cell r="P95">
            <v>0</v>
          </cell>
          <cell r="S95">
            <v>0</v>
          </cell>
          <cell r="V95">
            <v>0</v>
          </cell>
          <cell r="Y95">
            <v>0</v>
          </cell>
          <cell r="AB95">
            <v>0</v>
          </cell>
          <cell r="AE95">
            <v>0</v>
          </cell>
          <cell r="AH95">
            <v>0</v>
          </cell>
        </row>
        <row r="96">
          <cell r="J96">
            <v>0</v>
          </cell>
          <cell r="M96">
            <v>0</v>
          </cell>
          <cell r="P96">
            <v>0</v>
          </cell>
          <cell r="S96">
            <v>0</v>
          </cell>
          <cell r="V96">
            <v>0</v>
          </cell>
          <cell r="Y96">
            <v>0</v>
          </cell>
          <cell r="AB96">
            <v>-165.6</v>
          </cell>
          <cell r="AE96">
            <v>0</v>
          </cell>
          <cell r="AH96">
            <v>0</v>
          </cell>
        </row>
        <row r="97">
          <cell r="J97">
            <v>0</v>
          </cell>
          <cell r="M97">
            <v>0</v>
          </cell>
          <cell r="P97">
            <v>-279.92</v>
          </cell>
          <cell r="S97">
            <v>0</v>
          </cell>
          <cell r="V97">
            <v>0</v>
          </cell>
          <cell r="Y97">
            <v>565.55999999999995</v>
          </cell>
          <cell r="AB97">
            <v>563.09</v>
          </cell>
          <cell r="AE97">
            <v>542.83000000000004</v>
          </cell>
          <cell r="AH97">
            <v>520.30999999999995</v>
          </cell>
        </row>
        <row r="98">
          <cell r="J98">
            <v>23.99</v>
          </cell>
          <cell r="M98">
            <v>89.18</v>
          </cell>
          <cell r="P98">
            <v>25.57</v>
          </cell>
          <cell r="S98">
            <v>26.22</v>
          </cell>
          <cell r="V98">
            <v>25.89</v>
          </cell>
          <cell r="Y98">
            <v>26.06</v>
          </cell>
          <cell r="AB98">
            <v>25.95</v>
          </cell>
          <cell r="AE98">
            <v>152.61000000000001</v>
          </cell>
          <cell r="AH98">
            <v>664.87</v>
          </cell>
        </row>
        <row r="99">
          <cell r="J99">
            <v>0</v>
          </cell>
          <cell r="M99">
            <v>-188.29</v>
          </cell>
          <cell r="P99">
            <v>0</v>
          </cell>
          <cell r="S99">
            <v>0</v>
          </cell>
          <cell r="V99">
            <v>0</v>
          </cell>
          <cell r="Y99">
            <v>0</v>
          </cell>
          <cell r="AB99">
            <v>-904.37</v>
          </cell>
          <cell r="AE99">
            <v>0</v>
          </cell>
          <cell r="AH99">
            <v>0</v>
          </cell>
        </row>
        <row r="100">
          <cell r="J100">
            <v>575.30999999999995</v>
          </cell>
          <cell r="M100">
            <v>589.29</v>
          </cell>
          <cell r="P100">
            <v>613.16</v>
          </cell>
          <cell r="S100">
            <v>628.69000000000005</v>
          </cell>
          <cell r="V100">
            <v>621.01</v>
          </cell>
          <cell r="Y100">
            <v>625.01</v>
          </cell>
          <cell r="AB100">
            <v>622.27</v>
          </cell>
          <cell r="AE100">
            <v>599.89</v>
          </cell>
          <cell r="AH100">
            <v>-81.25</v>
          </cell>
        </row>
        <row r="101">
          <cell r="J101">
            <v>231.54</v>
          </cell>
          <cell r="M101">
            <v>539.47</v>
          </cell>
          <cell r="P101">
            <v>840.96</v>
          </cell>
          <cell r="S101">
            <v>575.54</v>
          </cell>
          <cell r="V101">
            <v>568.51</v>
          </cell>
          <cell r="Y101">
            <v>286.24</v>
          </cell>
          <cell r="AB101">
            <v>295.33999999999997</v>
          </cell>
          <cell r="AE101">
            <v>549.16999999999996</v>
          </cell>
          <cell r="AH101">
            <v>526.39</v>
          </cell>
        </row>
        <row r="102">
          <cell r="J102">
            <v>0</v>
          </cell>
          <cell r="M102">
            <v>0</v>
          </cell>
          <cell r="P102">
            <v>0</v>
          </cell>
          <cell r="S102">
            <v>0</v>
          </cell>
          <cell r="V102">
            <v>0</v>
          </cell>
          <cell r="Y102">
            <v>0</v>
          </cell>
          <cell r="AB102">
            <v>1174.93</v>
          </cell>
          <cell r="AE102">
            <v>1132.6600000000001</v>
          </cell>
          <cell r="AH102">
            <v>1085.67</v>
          </cell>
        </row>
        <row r="103">
          <cell r="J103">
            <v>-187.6</v>
          </cell>
          <cell r="M103">
            <v>0</v>
          </cell>
          <cell r="P103">
            <v>0</v>
          </cell>
          <cell r="S103">
            <v>0</v>
          </cell>
          <cell r="V103">
            <v>0</v>
          </cell>
          <cell r="Y103">
            <v>-417.86</v>
          </cell>
          <cell r="AB103">
            <v>0</v>
          </cell>
          <cell r="AE103">
            <v>0</v>
          </cell>
          <cell r="AH103">
            <v>0</v>
          </cell>
        </row>
        <row r="104">
          <cell r="J104">
            <v>0</v>
          </cell>
          <cell r="M104">
            <v>0</v>
          </cell>
          <cell r="P104">
            <v>-163.16999999999999</v>
          </cell>
          <cell r="S104">
            <v>0</v>
          </cell>
          <cell r="V104">
            <v>0</v>
          </cell>
          <cell r="Y104">
            <v>0</v>
          </cell>
          <cell r="AB104">
            <v>0</v>
          </cell>
          <cell r="AE104">
            <v>0</v>
          </cell>
          <cell r="AH104">
            <v>0</v>
          </cell>
        </row>
        <row r="105">
          <cell r="J105">
            <v>401.73</v>
          </cell>
          <cell r="M105">
            <v>411.49</v>
          </cell>
          <cell r="P105">
            <v>428.15</v>
          </cell>
          <cell r="S105">
            <v>439</v>
          </cell>
          <cell r="V105">
            <v>433.63</v>
          </cell>
          <cell r="Y105">
            <v>436.43</v>
          </cell>
          <cell r="AB105">
            <v>434.52</v>
          </cell>
          <cell r="AE105">
            <v>418.89</v>
          </cell>
          <cell r="AH105">
            <v>401.51</v>
          </cell>
        </row>
        <row r="106">
          <cell r="J106">
            <v>-43.77</v>
          </cell>
          <cell r="M106">
            <v>96.5</v>
          </cell>
          <cell r="P106">
            <v>-47.65</v>
          </cell>
          <cell r="S106">
            <v>-241.43</v>
          </cell>
          <cell r="V106">
            <v>-48.26</v>
          </cell>
          <cell r="Y106">
            <v>102.35</v>
          </cell>
          <cell r="AB106">
            <v>-82.63</v>
          </cell>
          <cell r="AE106">
            <v>-182.38</v>
          </cell>
          <cell r="AH106">
            <v>50.4</v>
          </cell>
        </row>
        <row r="107">
          <cell r="J107">
            <v>0</v>
          </cell>
          <cell r="M107">
            <v>-208.17</v>
          </cell>
          <cell r="P107">
            <v>0</v>
          </cell>
          <cell r="S107">
            <v>0</v>
          </cell>
          <cell r="V107">
            <v>0</v>
          </cell>
          <cell r="Y107">
            <v>0</v>
          </cell>
          <cell r="AB107">
            <v>0</v>
          </cell>
          <cell r="AE107">
            <v>0</v>
          </cell>
          <cell r="AH107">
            <v>0</v>
          </cell>
        </row>
        <row r="108">
          <cell r="J108">
            <v>-394.07</v>
          </cell>
          <cell r="M108">
            <v>0</v>
          </cell>
          <cell r="P108">
            <v>0</v>
          </cell>
          <cell r="S108">
            <v>0</v>
          </cell>
          <cell r="V108">
            <v>0</v>
          </cell>
          <cell r="Y108">
            <v>0</v>
          </cell>
          <cell r="AB108">
            <v>0</v>
          </cell>
          <cell r="AE108">
            <v>0</v>
          </cell>
          <cell r="AH108">
            <v>0</v>
          </cell>
        </row>
        <row r="109">
          <cell r="J109">
            <v>0</v>
          </cell>
          <cell r="M109">
            <v>0</v>
          </cell>
          <cell r="P109">
            <v>0</v>
          </cell>
          <cell r="S109">
            <v>0</v>
          </cell>
          <cell r="V109">
            <v>0</v>
          </cell>
          <cell r="Y109">
            <v>0</v>
          </cell>
          <cell r="AB109">
            <v>0</v>
          </cell>
          <cell r="AE109">
            <v>0</v>
          </cell>
          <cell r="AH109">
            <v>0</v>
          </cell>
        </row>
        <row r="110">
          <cell r="J110">
            <v>0</v>
          </cell>
          <cell r="M110">
            <v>0</v>
          </cell>
          <cell r="P110">
            <v>0</v>
          </cell>
          <cell r="S110">
            <v>0</v>
          </cell>
          <cell r="V110">
            <v>0</v>
          </cell>
          <cell r="Y110">
            <v>0</v>
          </cell>
          <cell r="AB110">
            <v>0</v>
          </cell>
          <cell r="AE110">
            <v>0</v>
          </cell>
          <cell r="AH110">
            <v>0</v>
          </cell>
        </row>
        <row r="111">
          <cell r="J111">
            <v>0</v>
          </cell>
          <cell r="M111">
            <v>0</v>
          </cell>
          <cell r="P111">
            <v>0</v>
          </cell>
          <cell r="S111">
            <v>0</v>
          </cell>
          <cell r="V111">
            <v>0</v>
          </cell>
          <cell r="Y111">
            <v>0</v>
          </cell>
          <cell r="AB111">
            <v>-605.25</v>
          </cell>
          <cell r="AE111">
            <v>0</v>
          </cell>
          <cell r="AH111">
            <v>0</v>
          </cell>
        </row>
        <row r="112">
          <cell r="J112">
            <v>-418.33</v>
          </cell>
          <cell r="M112">
            <v>-349.81</v>
          </cell>
          <cell r="P112">
            <v>-152.83000000000001</v>
          </cell>
          <cell r="S112">
            <v>-373.2</v>
          </cell>
          <cell r="V112">
            <v>0</v>
          </cell>
          <cell r="Y112">
            <v>0</v>
          </cell>
          <cell r="AB112">
            <v>-1132.6500000000001</v>
          </cell>
          <cell r="AE112">
            <v>-887.86</v>
          </cell>
          <cell r="AH112">
            <v>-642.51</v>
          </cell>
        </row>
        <row r="113">
          <cell r="J113">
            <v>0</v>
          </cell>
          <cell r="M113">
            <v>-763.39</v>
          </cell>
          <cell r="P113">
            <v>0</v>
          </cell>
          <cell r="S113">
            <v>0</v>
          </cell>
          <cell r="V113">
            <v>0</v>
          </cell>
          <cell r="Y113">
            <v>0</v>
          </cell>
          <cell r="AB113">
            <v>0</v>
          </cell>
          <cell r="AE113">
            <v>-1075.04</v>
          </cell>
          <cell r="AH113">
            <v>0</v>
          </cell>
        </row>
        <row r="114">
          <cell r="J114">
            <v>0</v>
          </cell>
          <cell r="M114">
            <v>0</v>
          </cell>
          <cell r="P114">
            <v>0</v>
          </cell>
          <cell r="S114">
            <v>0</v>
          </cell>
          <cell r="V114">
            <v>0</v>
          </cell>
          <cell r="Y114">
            <v>0</v>
          </cell>
          <cell r="AB114">
            <v>0</v>
          </cell>
          <cell r="AE114">
            <v>0</v>
          </cell>
          <cell r="AH114">
            <v>0</v>
          </cell>
        </row>
        <row r="115">
          <cell r="J115">
            <v>53.45</v>
          </cell>
          <cell r="M115">
            <v>54.75</v>
          </cell>
          <cell r="P115">
            <v>56.97</v>
          </cell>
          <cell r="S115">
            <v>58.41</v>
          </cell>
          <cell r="V115">
            <v>57.7</v>
          </cell>
          <cell r="Y115">
            <v>58.07</v>
          </cell>
          <cell r="AB115">
            <v>-461.43</v>
          </cell>
          <cell r="AE115">
            <v>55.73</v>
          </cell>
          <cell r="AH115">
            <v>53.42</v>
          </cell>
        </row>
        <row r="116">
          <cell r="J116">
            <v>0</v>
          </cell>
          <cell r="M116">
            <v>-149.63999999999999</v>
          </cell>
          <cell r="P116">
            <v>0</v>
          </cell>
          <cell r="S116">
            <v>-141.38</v>
          </cell>
          <cell r="V116">
            <v>-66.92</v>
          </cell>
          <cell r="Y116">
            <v>0</v>
          </cell>
          <cell r="AB116">
            <v>-167.61</v>
          </cell>
          <cell r="AE116">
            <v>0</v>
          </cell>
          <cell r="AH116">
            <v>0</v>
          </cell>
        </row>
        <row r="117">
          <cell r="J117">
            <v>-207.95</v>
          </cell>
          <cell r="M117">
            <v>-180.32</v>
          </cell>
          <cell r="P117">
            <v>-344.17</v>
          </cell>
          <cell r="S117">
            <v>-142.16</v>
          </cell>
          <cell r="V117">
            <v>208.11</v>
          </cell>
          <cell r="Y117">
            <v>-213</v>
          </cell>
          <cell r="AB117">
            <v>-480.94</v>
          </cell>
          <cell r="AE117">
            <v>865.71</v>
          </cell>
          <cell r="AH117">
            <v>829.8</v>
          </cell>
        </row>
        <row r="118">
          <cell r="J118">
            <v>0</v>
          </cell>
          <cell r="M118">
            <v>0</v>
          </cell>
          <cell r="P118">
            <v>0</v>
          </cell>
          <cell r="S118">
            <v>0</v>
          </cell>
          <cell r="V118">
            <v>0</v>
          </cell>
          <cell r="Y118">
            <v>0</v>
          </cell>
          <cell r="AB118">
            <v>0</v>
          </cell>
          <cell r="AE118">
            <v>0</v>
          </cell>
          <cell r="AH118">
            <v>0</v>
          </cell>
        </row>
        <row r="119">
          <cell r="J119">
            <v>125.3</v>
          </cell>
          <cell r="M119">
            <v>128.35</v>
          </cell>
          <cell r="P119">
            <v>133.55000000000001</v>
          </cell>
          <cell r="S119">
            <v>136.93</v>
          </cell>
          <cell r="V119">
            <v>135.26</v>
          </cell>
          <cell r="Y119">
            <v>136.13</v>
          </cell>
          <cell r="AB119">
            <v>135.53</v>
          </cell>
          <cell r="AE119">
            <v>130.66</v>
          </cell>
          <cell r="AH119">
            <v>125.24</v>
          </cell>
        </row>
        <row r="120">
          <cell r="J120">
            <v>0</v>
          </cell>
          <cell r="M120">
            <v>0</v>
          </cell>
          <cell r="P120">
            <v>0</v>
          </cell>
          <cell r="S120">
            <v>0</v>
          </cell>
          <cell r="V120">
            <v>0</v>
          </cell>
          <cell r="Y120">
            <v>0</v>
          </cell>
          <cell r="AB120">
            <v>0</v>
          </cell>
          <cell r="AE120">
            <v>0</v>
          </cell>
          <cell r="AH120">
            <v>0</v>
          </cell>
        </row>
        <row r="121">
          <cell r="J121">
            <v>-1423.45</v>
          </cell>
          <cell r="M121">
            <v>-1760.63</v>
          </cell>
          <cell r="P121">
            <v>-942.26</v>
          </cell>
          <cell r="S121">
            <v>-873.93</v>
          </cell>
          <cell r="V121">
            <v>-2230.14</v>
          </cell>
          <cell r="Y121">
            <v>-282.87</v>
          </cell>
          <cell r="AB121">
            <v>-2586.59</v>
          </cell>
          <cell r="AE121">
            <v>-1488.48</v>
          </cell>
          <cell r="AH121">
            <v>104.8</v>
          </cell>
        </row>
        <row r="122">
          <cell r="J122">
            <v>0</v>
          </cell>
          <cell r="M122">
            <v>64.400000000000006</v>
          </cell>
          <cell r="P122">
            <v>67.010000000000005</v>
          </cell>
          <cell r="S122">
            <v>68.7</v>
          </cell>
          <cell r="V122">
            <v>67.86</v>
          </cell>
          <cell r="Y122">
            <v>68.3</v>
          </cell>
          <cell r="AB122">
            <v>83.13</v>
          </cell>
          <cell r="AE122">
            <v>80.14</v>
          </cell>
          <cell r="AH122">
            <v>-144.97999999999999</v>
          </cell>
        </row>
        <row r="123">
          <cell r="J123">
            <v>-725.07</v>
          </cell>
          <cell r="M123">
            <v>0</v>
          </cell>
          <cell r="P123">
            <v>0</v>
          </cell>
          <cell r="S123">
            <v>0</v>
          </cell>
          <cell r="V123">
            <v>0</v>
          </cell>
          <cell r="Y123">
            <v>0</v>
          </cell>
          <cell r="AB123">
            <v>0</v>
          </cell>
          <cell r="AE123">
            <v>0</v>
          </cell>
          <cell r="AH123">
            <v>0</v>
          </cell>
        </row>
        <row r="124">
          <cell r="J124">
            <v>0</v>
          </cell>
          <cell r="M124">
            <v>0</v>
          </cell>
          <cell r="P124">
            <v>0</v>
          </cell>
          <cell r="S124">
            <v>0</v>
          </cell>
          <cell r="V124">
            <v>-770.18</v>
          </cell>
          <cell r="Y124">
            <v>0</v>
          </cell>
          <cell r="AB124">
            <v>0</v>
          </cell>
          <cell r="AE124">
            <v>0</v>
          </cell>
          <cell r="AH124">
            <v>0</v>
          </cell>
        </row>
        <row r="125">
          <cell r="J125">
            <v>0</v>
          </cell>
          <cell r="M125">
            <v>0</v>
          </cell>
          <cell r="P125">
            <v>0</v>
          </cell>
          <cell r="S125">
            <v>0</v>
          </cell>
          <cell r="V125">
            <v>0</v>
          </cell>
          <cell r="Y125">
            <v>0</v>
          </cell>
          <cell r="AB125">
            <v>0</v>
          </cell>
          <cell r="AE125">
            <v>0</v>
          </cell>
          <cell r="AH125">
            <v>0</v>
          </cell>
        </row>
        <row r="126">
          <cell r="J126">
            <v>2489.2199999999998</v>
          </cell>
          <cell r="M126">
            <v>3138.87</v>
          </cell>
          <cell r="P126">
            <v>3880.21</v>
          </cell>
          <cell r="S126">
            <v>-921.65</v>
          </cell>
          <cell r="V126">
            <v>-285.13</v>
          </cell>
          <cell r="Y126">
            <v>-286.97000000000003</v>
          </cell>
          <cell r="AB126">
            <v>347.52</v>
          </cell>
          <cell r="AE126">
            <v>989.04</v>
          </cell>
          <cell r="AH126">
            <v>-4513.2</v>
          </cell>
        </row>
        <row r="127">
          <cell r="J127">
            <v>0</v>
          </cell>
          <cell r="M127">
            <v>0</v>
          </cell>
          <cell r="P127">
            <v>0</v>
          </cell>
          <cell r="S127">
            <v>-2534.21</v>
          </cell>
          <cell r="V127">
            <v>0</v>
          </cell>
          <cell r="Y127">
            <v>0</v>
          </cell>
          <cell r="AB127">
            <v>0</v>
          </cell>
          <cell r="AE127">
            <v>-1944.42</v>
          </cell>
          <cell r="AH127">
            <v>0</v>
          </cell>
        </row>
        <row r="128">
          <cell r="J128">
            <v>0</v>
          </cell>
          <cell r="M128">
            <v>0</v>
          </cell>
          <cell r="P128">
            <v>0</v>
          </cell>
          <cell r="S128">
            <v>-262.58999999999997</v>
          </cell>
          <cell r="V128">
            <v>0</v>
          </cell>
          <cell r="Y128">
            <v>0</v>
          </cell>
          <cell r="AB128">
            <v>0</v>
          </cell>
          <cell r="AE128">
            <v>0</v>
          </cell>
          <cell r="AH128">
            <v>0</v>
          </cell>
        </row>
        <row r="129">
          <cell r="J129">
            <v>0</v>
          </cell>
          <cell r="M129">
            <v>0</v>
          </cell>
          <cell r="P129">
            <v>0</v>
          </cell>
          <cell r="S129">
            <v>-297.2</v>
          </cell>
          <cell r="V129">
            <v>0</v>
          </cell>
          <cell r="Y129">
            <v>0</v>
          </cell>
          <cell r="AB129">
            <v>0</v>
          </cell>
          <cell r="AE129">
            <v>0</v>
          </cell>
          <cell r="AH129">
            <v>-599.95000000000005</v>
          </cell>
        </row>
        <row r="130">
          <cell r="J130">
            <v>0</v>
          </cell>
          <cell r="M130">
            <v>327.17</v>
          </cell>
          <cell r="P130">
            <v>340.42</v>
          </cell>
          <cell r="S130">
            <v>349.04</v>
          </cell>
          <cell r="V130">
            <v>0</v>
          </cell>
          <cell r="Y130">
            <v>0</v>
          </cell>
          <cell r="AB130">
            <v>0</v>
          </cell>
          <cell r="AE130">
            <v>0</v>
          </cell>
          <cell r="AH130">
            <v>0</v>
          </cell>
        </row>
        <row r="131">
          <cell r="J131">
            <v>0</v>
          </cell>
          <cell r="M131">
            <v>0</v>
          </cell>
          <cell r="P131">
            <v>0</v>
          </cell>
          <cell r="S131">
            <v>0</v>
          </cell>
          <cell r="V131">
            <v>0</v>
          </cell>
          <cell r="Y131">
            <v>0</v>
          </cell>
          <cell r="AB131">
            <v>0</v>
          </cell>
          <cell r="AE131">
            <v>26.42</v>
          </cell>
          <cell r="AH131">
            <v>25.32</v>
          </cell>
        </row>
        <row r="132">
          <cell r="J132">
            <v>0</v>
          </cell>
          <cell r="M132">
            <v>0</v>
          </cell>
          <cell r="P132">
            <v>0</v>
          </cell>
          <cell r="S132">
            <v>-276.91000000000003</v>
          </cell>
          <cell r="V132">
            <v>0</v>
          </cell>
          <cell r="Y132">
            <v>0</v>
          </cell>
          <cell r="AB132">
            <v>0</v>
          </cell>
          <cell r="AE132">
            <v>0</v>
          </cell>
          <cell r="AH132">
            <v>0</v>
          </cell>
        </row>
        <row r="133">
          <cell r="J133">
            <v>-104.04</v>
          </cell>
          <cell r="M133">
            <v>0</v>
          </cell>
          <cell r="P133">
            <v>0</v>
          </cell>
          <cell r="S133">
            <v>0</v>
          </cell>
          <cell r="V133">
            <v>0</v>
          </cell>
          <cell r="Y133">
            <v>0</v>
          </cell>
          <cell r="AB133">
            <v>0</v>
          </cell>
          <cell r="AE133">
            <v>0</v>
          </cell>
          <cell r="AH133">
            <v>0</v>
          </cell>
        </row>
        <row r="134">
          <cell r="J134">
            <v>-265.77</v>
          </cell>
          <cell r="M134">
            <v>0</v>
          </cell>
          <cell r="P134">
            <v>-1266.3</v>
          </cell>
          <cell r="S134">
            <v>-324.58999999999997</v>
          </cell>
          <cell r="V134">
            <v>-624.38</v>
          </cell>
          <cell r="Y134">
            <v>0</v>
          </cell>
          <cell r="AB134">
            <v>-1454.23</v>
          </cell>
          <cell r="AE134">
            <v>0</v>
          </cell>
          <cell r="AH134">
            <v>-562.5</v>
          </cell>
        </row>
        <row r="135">
          <cell r="J135">
            <v>0</v>
          </cell>
          <cell r="M135">
            <v>0</v>
          </cell>
          <cell r="P135">
            <v>0</v>
          </cell>
          <cell r="S135">
            <v>0</v>
          </cell>
          <cell r="V135">
            <v>0</v>
          </cell>
          <cell r="Y135">
            <v>0</v>
          </cell>
          <cell r="AB135">
            <v>0</v>
          </cell>
          <cell r="AE135">
            <v>0</v>
          </cell>
          <cell r="AH135">
            <v>0</v>
          </cell>
        </row>
        <row r="136">
          <cell r="J136">
            <v>0</v>
          </cell>
          <cell r="M136">
            <v>0</v>
          </cell>
          <cell r="P136">
            <v>0</v>
          </cell>
          <cell r="S136">
            <v>0</v>
          </cell>
          <cell r="V136">
            <v>0</v>
          </cell>
          <cell r="Y136">
            <v>0</v>
          </cell>
          <cell r="AB136">
            <v>0</v>
          </cell>
          <cell r="AE136">
            <v>0</v>
          </cell>
          <cell r="AH136">
            <v>0</v>
          </cell>
        </row>
        <row r="137">
          <cell r="J137">
            <v>0</v>
          </cell>
          <cell r="M137">
            <v>0</v>
          </cell>
          <cell r="P137">
            <v>0</v>
          </cell>
          <cell r="S137">
            <v>0</v>
          </cell>
          <cell r="V137">
            <v>0</v>
          </cell>
          <cell r="Y137">
            <v>0</v>
          </cell>
          <cell r="AB137">
            <v>0</v>
          </cell>
          <cell r="AE137">
            <v>-4485.25</v>
          </cell>
          <cell r="AH137">
            <v>-4485.25</v>
          </cell>
        </row>
        <row r="138">
          <cell r="J138">
            <v>-109.43</v>
          </cell>
          <cell r="M138">
            <v>-112.09</v>
          </cell>
          <cell r="P138">
            <v>-116.63</v>
          </cell>
          <cell r="S138">
            <v>-256.26</v>
          </cell>
          <cell r="V138">
            <v>-253.13</v>
          </cell>
          <cell r="Y138">
            <v>-254.76</v>
          </cell>
          <cell r="AB138">
            <v>-253.64</v>
          </cell>
          <cell r="AE138">
            <v>-244.52</v>
          </cell>
          <cell r="AH138">
            <v>-234.37</v>
          </cell>
        </row>
        <row r="139">
          <cell r="J139">
            <v>670.89</v>
          </cell>
          <cell r="M139">
            <v>1448.37</v>
          </cell>
          <cell r="P139">
            <v>1507.04</v>
          </cell>
          <cell r="S139">
            <v>-665.68</v>
          </cell>
          <cell r="V139">
            <v>1398.89</v>
          </cell>
          <cell r="Y139">
            <v>1809.66</v>
          </cell>
          <cell r="AB139">
            <v>1326.82</v>
          </cell>
          <cell r="AE139">
            <v>1860.03</v>
          </cell>
          <cell r="AH139">
            <v>1782.87</v>
          </cell>
        </row>
        <row r="140">
          <cell r="J140">
            <v>0</v>
          </cell>
          <cell r="M140">
            <v>0</v>
          </cell>
          <cell r="P140">
            <v>-3270.7</v>
          </cell>
          <cell r="S140">
            <v>-3353.55</v>
          </cell>
          <cell r="V140">
            <v>-3312.57</v>
          </cell>
          <cell r="Y140">
            <v>-3333.91</v>
          </cell>
          <cell r="AB140">
            <v>-3319.33</v>
          </cell>
          <cell r="AE140">
            <v>-3199.92</v>
          </cell>
          <cell r="AH140">
            <v>-3067.16</v>
          </cell>
        </row>
        <row r="141">
          <cell r="J141">
            <v>0</v>
          </cell>
          <cell r="M141">
            <v>0</v>
          </cell>
          <cell r="P141">
            <v>0</v>
          </cell>
          <cell r="S141">
            <v>0</v>
          </cell>
          <cell r="V141">
            <v>0</v>
          </cell>
          <cell r="Y141">
            <v>0</v>
          </cell>
          <cell r="AB141">
            <v>-169.1</v>
          </cell>
          <cell r="AE141">
            <v>0</v>
          </cell>
          <cell r="AH141">
            <v>0</v>
          </cell>
        </row>
        <row r="142">
          <cell r="J142">
            <v>0</v>
          </cell>
          <cell r="M142">
            <v>0</v>
          </cell>
          <cell r="P142">
            <v>0</v>
          </cell>
          <cell r="S142">
            <v>0</v>
          </cell>
          <cell r="V142">
            <v>-116.38</v>
          </cell>
          <cell r="Y142">
            <v>-117.13</v>
          </cell>
          <cell r="AB142">
            <v>-116.62</v>
          </cell>
          <cell r="AE142">
            <v>-783.87</v>
          </cell>
          <cell r="AH142">
            <v>-751.35</v>
          </cell>
        </row>
        <row r="143">
          <cell r="J143">
            <v>0</v>
          </cell>
          <cell r="M143">
            <v>0</v>
          </cell>
          <cell r="P143">
            <v>0</v>
          </cell>
          <cell r="S143">
            <v>0</v>
          </cell>
          <cell r="V143">
            <v>0</v>
          </cell>
          <cell r="Y143">
            <v>0</v>
          </cell>
          <cell r="AB143">
            <v>0</v>
          </cell>
          <cell r="AE143">
            <v>0</v>
          </cell>
          <cell r="AH143">
            <v>0</v>
          </cell>
        </row>
        <row r="144">
          <cell r="J144">
            <v>0</v>
          </cell>
          <cell r="M144">
            <v>0</v>
          </cell>
          <cell r="P144">
            <v>0</v>
          </cell>
          <cell r="S144">
            <v>0</v>
          </cell>
          <cell r="V144">
            <v>0</v>
          </cell>
          <cell r="Y144">
            <v>0</v>
          </cell>
          <cell r="AB144">
            <v>0</v>
          </cell>
          <cell r="AE144">
            <v>0</v>
          </cell>
          <cell r="AH144">
            <v>0</v>
          </cell>
        </row>
        <row r="145">
          <cell r="J145">
            <v>3204.85</v>
          </cell>
          <cell r="M145">
            <v>3282.72</v>
          </cell>
          <cell r="P145">
            <v>3415.69</v>
          </cell>
          <cell r="S145">
            <v>3502.21</v>
          </cell>
          <cell r="V145">
            <v>3459.41</v>
          </cell>
          <cell r="Y145">
            <v>3481.7</v>
          </cell>
          <cell r="AB145">
            <v>3466.47</v>
          </cell>
          <cell r="AE145">
            <v>4812.25</v>
          </cell>
          <cell r="AH145">
            <v>4612.6099999999997</v>
          </cell>
        </row>
        <row r="146">
          <cell r="J146">
            <v>-436.39</v>
          </cell>
          <cell r="M146">
            <v>0</v>
          </cell>
          <cell r="P146">
            <v>0</v>
          </cell>
          <cell r="S146">
            <v>0</v>
          </cell>
          <cell r="V146">
            <v>0</v>
          </cell>
          <cell r="Y146">
            <v>0</v>
          </cell>
          <cell r="AB146">
            <v>0</v>
          </cell>
          <cell r="AE146">
            <v>0</v>
          </cell>
          <cell r="AH146">
            <v>0</v>
          </cell>
        </row>
        <row r="147">
          <cell r="J147">
            <v>814.97</v>
          </cell>
          <cell r="M147">
            <v>822.88</v>
          </cell>
          <cell r="P147">
            <v>846.01</v>
          </cell>
          <cell r="S147">
            <v>882.77</v>
          </cell>
          <cell r="V147">
            <v>857.06</v>
          </cell>
          <cell r="Y147">
            <v>861.42</v>
          </cell>
          <cell r="AB147">
            <v>849.15</v>
          </cell>
          <cell r="AE147">
            <v>859.59</v>
          </cell>
          <cell r="AH147">
            <v>808.46</v>
          </cell>
        </row>
        <row r="148">
          <cell r="J148">
            <v>0</v>
          </cell>
          <cell r="M148">
            <v>0</v>
          </cell>
          <cell r="P148">
            <v>0</v>
          </cell>
          <cell r="S148">
            <v>0</v>
          </cell>
          <cell r="V148">
            <v>0</v>
          </cell>
          <cell r="Y148">
            <v>0</v>
          </cell>
          <cell r="AB148">
            <v>0</v>
          </cell>
          <cell r="AE148">
            <v>0</v>
          </cell>
          <cell r="AH148">
            <v>0</v>
          </cell>
        </row>
        <row r="149">
          <cell r="J149">
            <v>0</v>
          </cell>
          <cell r="M149">
            <v>-6487.02</v>
          </cell>
          <cell r="P149">
            <v>0</v>
          </cell>
          <cell r="S149">
            <v>0</v>
          </cell>
          <cell r="V149">
            <v>0</v>
          </cell>
          <cell r="Y149">
            <v>0</v>
          </cell>
          <cell r="AB149">
            <v>0</v>
          </cell>
          <cell r="AE149">
            <v>0</v>
          </cell>
          <cell r="AH149">
            <v>0</v>
          </cell>
        </row>
        <row r="150">
          <cell r="J150">
            <v>-367.39</v>
          </cell>
          <cell r="M150">
            <v>-258.7</v>
          </cell>
          <cell r="P150">
            <v>-153.69</v>
          </cell>
          <cell r="S150">
            <v>-169.96</v>
          </cell>
          <cell r="V150">
            <v>-171.66</v>
          </cell>
          <cell r="Y150">
            <v>0</v>
          </cell>
          <cell r="AB150">
            <v>-206.41</v>
          </cell>
          <cell r="AE150">
            <v>-69.98</v>
          </cell>
          <cell r="AH150">
            <v>-80.55</v>
          </cell>
        </row>
        <row r="151">
          <cell r="J151">
            <v>0</v>
          </cell>
          <cell r="M151">
            <v>0</v>
          </cell>
          <cell r="P151">
            <v>0</v>
          </cell>
          <cell r="S151">
            <v>0</v>
          </cell>
          <cell r="V151">
            <v>0</v>
          </cell>
          <cell r="Y151">
            <v>0</v>
          </cell>
          <cell r="AB151">
            <v>0</v>
          </cell>
          <cell r="AE151">
            <v>0</v>
          </cell>
          <cell r="AH151">
            <v>0</v>
          </cell>
        </row>
        <row r="152">
          <cell r="J152">
            <v>0</v>
          </cell>
          <cell r="M152">
            <v>0</v>
          </cell>
          <cell r="P152">
            <v>0</v>
          </cell>
          <cell r="S152">
            <v>-76.88</v>
          </cell>
          <cell r="V152">
            <v>0</v>
          </cell>
          <cell r="Y152">
            <v>0</v>
          </cell>
          <cell r="AB152">
            <v>-76.09</v>
          </cell>
          <cell r="AE152">
            <v>0</v>
          </cell>
          <cell r="AH152">
            <v>0</v>
          </cell>
        </row>
        <row r="153">
          <cell r="J153">
            <v>0</v>
          </cell>
          <cell r="M153">
            <v>0</v>
          </cell>
          <cell r="P153">
            <v>0</v>
          </cell>
          <cell r="S153">
            <v>0</v>
          </cell>
          <cell r="V153">
            <v>0</v>
          </cell>
          <cell r="Y153">
            <v>0</v>
          </cell>
          <cell r="AB153">
            <v>0</v>
          </cell>
          <cell r="AE153">
            <v>0</v>
          </cell>
          <cell r="AH153">
            <v>0</v>
          </cell>
        </row>
        <row r="154">
          <cell r="J154">
            <v>0</v>
          </cell>
          <cell r="M154">
            <v>0</v>
          </cell>
          <cell r="P154">
            <v>0</v>
          </cell>
          <cell r="S154">
            <v>0</v>
          </cell>
          <cell r="V154">
            <v>0</v>
          </cell>
          <cell r="Y154">
            <v>0</v>
          </cell>
          <cell r="AB154">
            <v>0</v>
          </cell>
          <cell r="AE154">
            <v>0</v>
          </cell>
          <cell r="AH154">
            <v>0</v>
          </cell>
        </row>
        <row r="155">
          <cell r="J155">
            <v>0</v>
          </cell>
          <cell r="M155">
            <v>-510.04</v>
          </cell>
          <cell r="P155">
            <v>0</v>
          </cell>
          <cell r="S155">
            <v>0</v>
          </cell>
          <cell r="V155">
            <v>0</v>
          </cell>
          <cell r="Y155">
            <v>0</v>
          </cell>
          <cell r="AB155">
            <v>0</v>
          </cell>
          <cell r="AE155">
            <v>-567.14</v>
          </cell>
          <cell r="AH155">
            <v>-187.31</v>
          </cell>
        </row>
        <row r="156">
          <cell r="J156">
            <v>-1498.67</v>
          </cell>
          <cell r="M156">
            <v>-775.53</v>
          </cell>
          <cell r="P156">
            <v>-1222.02</v>
          </cell>
          <cell r="S156">
            <v>-236.82</v>
          </cell>
          <cell r="V156">
            <v>-844.81</v>
          </cell>
          <cell r="Y156">
            <v>-235.43</v>
          </cell>
          <cell r="AB156">
            <v>-1840.21</v>
          </cell>
          <cell r="AE156">
            <v>-1080.81</v>
          </cell>
          <cell r="AH156">
            <v>-216.59</v>
          </cell>
        </row>
        <row r="157">
          <cell r="J157">
            <v>0</v>
          </cell>
          <cell r="M157">
            <v>0</v>
          </cell>
          <cell r="P157">
            <v>0</v>
          </cell>
          <cell r="S157">
            <v>0</v>
          </cell>
          <cell r="V157">
            <v>0</v>
          </cell>
          <cell r="Y157">
            <v>0</v>
          </cell>
          <cell r="AB157">
            <v>0</v>
          </cell>
          <cell r="AE157">
            <v>0</v>
          </cell>
          <cell r="AH157">
            <v>0</v>
          </cell>
        </row>
        <row r="158">
          <cell r="J158">
            <v>105.43</v>
          </cell>
          <cell r="M158">
            <v>341.31</v>
          </cell>
          <cell r="P158">
            <v>681.74</v>
          </cell>
          <cell r="S158">
            <v>542.11</v>
          </cell>
          <cell r="V158">
            <v>525.07000000000005</v>
          </cell>
          <cell r="Y158">
            <v>528.46</v>
          </cell>
          <cell r="AB158">
            <v>526.15</v>
          </cell>
          <cell r="AE158">
            <v>507.22</v>
          </cell>
          <cell r="AH158">
            <v>486.17</v>
          </cell>
        </row>
        <row r="159">
          <cell r="J159">
            <v>-11891.98</v>
          </cell>
          <cell r="M159">
            <v>-12003.91</v>
          </cell>
          <cell r="P159">
            <v>-12648.36</v>
          </cell>
          <cell r="S159">
            <v>-11858.95</v>
          </cell>
          <cell r="V159">
            <v>-11714.03</v>
          </cell>
          <cell r="Y159">
            <v>-11789.49</v>
          </cell>
          <cell r="AB159">
            <v>-11695.32</v>
          </cell>
          <cell r="AE159">
            <v>-10197.969999999999</v>
          </cell>
          <cell r="AH159">
            <v>-9629.39</v>
          </cell>
        </row>
        <row r="160">
          <cell r="J160">
            <v>0</v>
          </cell>
          <cell r="M160">
            <v>0</v>
          </cell>
          <cell r="P160">
            <v>0</v>
          </cell>
          <cell r="S160">
            <v>0</v>
          </cell>
          <cell r="V160">
            <v>0</v>
          </cell>
          <cell r="Y160">
            <v>0</v>
          </cell>
          <cell r="AB160">
            <v>-129.4</v>
          </cell>
          <cell r="AE160">
            <v>-2215.77</v>
          </cell>
          <cell r="AH160">
            <v>-730.37</v>
          </cell>
        </row>
        <row r="161">
          <cell r="J161">
            <v>0</v>
          </cell>
          <cell r="M161">
            <v>-156.29</v>
          </cell>
          <cell r="P161">
            <v>0</v>
          </cell>
          <cell r="S161">
            <v>-83.71</v>
          </cell>
          <cell r="V161">
            <v>0</v>
          </cell>
          <cell r="Y161">
            <v>0</v>
          </cell>
          <cell r="AB161">
            <v>0</v>
          </cell>
          <cell r="AE161">
            <v>0</v>
          </cell>
          <cell r="AH161">
            <v>-53.12</v>
          </cell>
        </row>
        <row r="162">
          <cell r="J162">
            <v>0</v>
          </cell>
          <cell r="M162">
            <v>0</v>
          </cell>
          <cell r="P162">
            <v>0</v>
          </cell>
          <cell r="S162">
            <v>0</v>
          </cell>
          <cell r="V162">
            <v>0</v>
          </cell>
          <cell r="Y162">
            <v>0</v>
          </cell>
          <cell r="AB162">
            <v>-1917.49</v>
          </cell>
          <cell r="AE162">
            <v>0</v>
          </cell>
          <cell r="AH162">
            <v>-1940.73</v>
          </cell>
        </row>
        <row r="163">
          <cell r="J163">
            <v>0</v>
          </cell>
          <cell r="M163">
            <v>0</v>
          </cell>
          <cell r="P163">
            <v>0</v>
          </cell>
          <cell r="S163">
            <v>0</v>
          </cell>
          <cell r="V163">
            <v>0</v>
          </cell>
          <cell r="Y163">
            <v>0</v>
          </cell>
          <cell r="AB163">
            <v>0</v>
          </cell>
          <cell r="AE163">
            <v>0</v>
          </cell>
          <cell r="AH163">
            <v>0</v>
          </cell>
        </row>
        <row r="164">
          <cell r="J164">
            <v>0</v>
          </cell>
          <cell r="M164">
            <v>-1309.8800000000001</v>
          </cell>
          <cell r="P164">
            <v>0</v>
          </cell>
          <cell r="S164">
            <v>-1187.33</v>
          </cell>
          <cell r="V164">
            <v>0</v>
          </cell>
          <cell r="Y164">
            <v>0</v>
          </cell>
          <cell r="AB164">
            <v>-470.09</v>
          </cell>
          <cell r="AE164">
            <v>-521.64</v>
          </cell>
          <cell r="AH164">
            <v>0</v>
          </cell>
        </row>
        <row r="165">
          <cell r="J165">
            <v>170</v>
          </cell>
          <cell r="M165">
            <v>170</v>
          </cell>
          <cell r="P165">
            <v>170</v>
          </cell>
          <cell r="S165">
            <v>170</v>
          </cell>
          <cell r="V165">
            <v>170</v>
          </cell>
          <cell r="Y165">
            <v>170</v>
          </cell>
          <cell r="AB165">
            <v>170</v>
          </cell>
          <cell r="AE165">
            <v>170</v>
          </cell>
          <cell r="AH165">
            <v>170</v>
          </cell>
        </row>
        <row r="166">
          <cell r="J166">
            <v>-17.09</v>
          </cell>
          <cell r="M166">
            <v>220.78</v>
          </cell>
          <cell r="P166">
            <v>111.26</v>
          </cell>
          <cell r="S166">
            <v>114.08</v>
          </cell>
          <cell r="V166">
            <v>112.69</v>
          </cell>
          <cell r="Y166">
            <v>2277.14</v>
          </cell>
          <cell r="AB166">
            <v>2267.1799999999998</v>
          </cell>
          <cell r="AE166">
            <v>2185.62</v>
          </cell>
          <cell r="AH166">
            <v>2094.9499999999998</v>
          </cell>
        </row>
        <row r="167">
          <cell r="J167">
            <v>-494.63</v>
          </cell>
          <cell r="M167">
            <v>-506.65</v>
          </cell>
          <cell r="P167">
            <v>-527.16999999999996</v>
          </cell>
          <cell r="S167">
            <v>-540.52</v>
          </cell>
          <cell r="V167">
            <v>-533.91999999999996</v>
          </cell>
          <cell r="Y167">
            <v>-1401.19</v>
          </cell>
          <cell r="AB167">
            <v>-3905.27</v>
          </cell>
          <cell r="AE167">
            <v>-515.76</v>
          </cell>
          <cell r="AH167">
            <v>-494.36</v>
          </cell>
        </row>
        <row r="168">
          <cell r="J168">
            <v>182.26</v>
          </cell>
          <cell r="M168">
            <v>186.69</v>
          </cell>
          <cell r="P168">
            <v>194.25</v>
          </cell>
          <cell r="S168">
            <v>199.17</v>
          </cell>
          <cell r="V168">
            <v>196.74</v>
          </cell>
          <cell r="Y168">
            <v>198.01</v>
          </cell>
          <cell r="AB168">
            <v>197.14</v>
          </cell>
          <cell r="AE168">
            <v>190.05</v>
          </cell>
          <cell r="AH168">
            <v>182.16</v>
          </cell>
        </row>
        <row r="169">
          <cell r="J169">
            <v>-309.43</v>
          </cell>
          <cell r="M169">
            <v>0</v>
          </cell>
          <cell r="P169">
            <v>0</v>
          </cell>
          <cell r="S169">
            <v>0</v>
          </cell>
          <cell r="V169">
            <v>0</v>
          </cell>
          <cell r="Y169">
            <v>0</v>
          </cell>
          <cell r="AB169">
            <v>0</v>
          </cell>
          <cell r="AE169">
            <v>0</v>
          </cell>
          <cell r="AH169">
            <v>0</v>
          </cell>
        </row>
        <row r="170">
          <cell r="J170">
            <v>-270.35000000000002</v>
          </cell>
          <cell r="M170">
            <v>0</v>
          </cell>
          <cell r="P170">
            <v>0</v>
          </cell>
          <cell r="S170">
            <v>0</v>
          </cell>
          <cell r="V170">
            <v>0</v>
          </cell>
          <cell r="Y170">
            <v>0</v>
          </cell>
          <cell r="AB170">
            <v>0</v>
          </cell>
          <cell r="AE170">
            <v>0</v>
          </cell>
          <cell r="AH170">
            <v>0</v>
          </cell>
        </row>
        <row r="171">
          <cell r="J171">
            <v>-196.98</v>
          </cell>
          <cell r="M171">
            <v>-251.41</v>
          </cell>
          <cell r="P171">
            <v>0</v>
          </cell>
          <cell r="S171">
            <v>-543.27</v>
          </cell>
          <cell r="V171">
            <v>0</v>
          </cell>
          <cell r="Y171">
            <v>0</v>
          </cell>
          <cell r="AB171">
            <v>-213.06</v>
          </cell>
          <cell r="AE171">
            <v>0</v>
          </cell>
          <cell r="AH171">
            <v>0</v>
          </cell>
        </row>
        <row r="172">
          <cell r="J172">
            <v>-797.3</v>
          </cell>
          <cell r="M172">
            <v>0</v>
          </cell>
          <cell r="P172">
            <v>0</v>
          </cell>
          <cell r="S172">
            <v>0</v>
          </cell>
          <cell r="V172">
            <v>0</v>
          </cell>
          <cell r="Y172">
            <v>0</v>
          </cell>
          <cell r="AB172">
            <v>0</v>
          </cell>
          <cell r="AE172">
            <v>0</v>
          </cell>
          <cell r="AH172">
            <v>0</v>
          </cell>
        </row>
        <row r="173">
          <cell r="J173">
            <v>-90.68</v>
          </cell>
          <cell r="M173">
            <v>0</v>
          </cell>
          <cell r="P173">
            <v>0</v>
          </cell>
          <cell r="S173">
            <v>0</v>
          </cell>
          <cell r="V173">
            <v>0</v>
          </cell>
          <cell r="Y173">
            <v>0</v>
          </cell>
          <cell r="AB173">
            <v>-83.25</v>
          </cell>
          <cell r="AE173">
            <v>0</v>
          </cell>
          <cell r="AH173">
            <v>0</v>
          </cell>
        </row>
        <row r="174">
          <cell r="J174">
            <v>0</v>
          </cell>
          <cell r="M174">
            <v>0</v>
          </cell>
          <cell r="P174">
            <v>0</v>
          </cell>
          <cell r="S174">
            <v>0</v>
          </cell>
          <cell r="V174">
            <v>0</v>
          </cell>
          <cell r="Y174">
            <v>-36.56</v>
          </cell>
          <cell r="AB174">
            <v>0</v>
          </cell>
          <cell r="AE174">
            <v>0</v>
          </cell>
          <cell r="AH174">
            <v>0</v>
          </cell>
        </row>
        <row r="175">
          <cell r="J175">
            <v>0</v>
          </cell>
          <cell r="M175">
            <v>-1647.98</v>
          </cell>
          <cell r="P175">
            <v>-433.21</v>
          </cell>
          <cell r="S175">
            <v>-1758.17</v>
          </cell>
          <cell r="V175">
            <v>-1736.69</v>
          </cell>
          <cell r="Y175">
            <v>-1747.88</v>
          </cell>
          <cell r="AB175">
            <v>-1740.23</v>
          </cell>
          <cell r="AE175">
            <v>-1677.63</v>
          </cell>
          <cell r="AH175">
            <v>-1608.03</v>
          </cell>
        </row>
        <row r="176">
          <cell r="J176">
            <v>0</v>
          </cell>
          <cell r="M176">
            <v>-1868.43</v>
          </cell>
          <cell r="P176">
            <v>-1944.11</v>
          </cell>
          <cell r="S176">
            <v>-1993.35</v>
          </cell>
          <cell r="V176">
            <v>-2036.16</v>
          </cell>
          <cell r="Y176">
            <v>-1981.68</v>
          </cell>
          <cell r="AB176">
            <v>-1973.01</v>
          </cell>
          <cell r="AE176">
            <v>-1837.16</v>
          </cell>
          <cell r="AH176">
            <v>-1760.94</v>
          </cell>
        </row>
        <row r="177">
          <cell r="J177">
            <v>0</v>
          </cell>
          <cell r="M177">
            <v>-4192.4399999999996</v>
          </cell>
          <cell r="P177">
            <v>0</v>
          </cell>
          <cell r="S177">
            <v>-7517.53</v>
          </cell>
          <cell r="V177">
            <v>-4418.1000000000004</v>
          </cell>
          <cell r="Y177">
            <v>-4446.5600000000004</v>
          </cell>
          <cell r="AB177">
            <v>-4427.1099999999997</v>
          </cell>
          <cell r="AE177">
            <v>249.3</v>
          </cell>
          <cell r="AH177">
            <v>650.59</v>
          </cell>
        </row>
        <row r="178">
          <cell r="J178">
            <v>0</v>
          </cell>
          <cell r="M178">
            <v>-4163.45</v>
          </cell>
          <cell r="P178">
            <v>0</v>
          </cell>
          <cell r="S178">
            <v>0</v>
          </cell>
          <cell r="V178">
            <v>0</v>
          </cell>
          <cell r="Y178">
            <v>0</v>
          </cell>
          <cell r="AB178">
            <v>0</v>
          </cell>
          <cell r="AE178">
            <v>0</v>
          </cell>
          <cell r="AH178">
            <v>0</v>
          </cell>
        </row>
        <row r="179">
          <cell r="J179">
            <v>0</v>
          </cell>
          <cell r="M179">
            <v>160</v>
          </cell>
          <cell r="P179">
            <v>160</v>
          </cell>
          <cell r="S179">
            <v>500</v>
          </cell>
          <cell r="V179">
            <v>500</v>
          </cell>
          <cell r="Y179">
            <v>500</v>
          </cell>
          <cell r="AB179">
            <v>500</v>
          </cell>
          <cell r="AE179">
            <v>500</v>
          </cell>
          <cell r="AH179">
            <v>0</v>
          </cell>
        </row>
        <row r="180">
          <cell r="J180">
            <v>0</v>
          </cell>
          <cell r="M180">
            <v>-72.06</v>
          </cell>
          <cell r="P180">
            <v>216.6</v>
          </cell>
          <cell r="S180">
            <v>521.05999999999995</v>
          </cell>
          <cell r="V180">
            <v>810.01</v>
          </cell>
          <cell r="Y180">
            <v>1053</v>
          </cell>
          <cell r="AB180">
            <v>1048.4000000000001</v>
          </cell>
          <cell r="AE180">
            <v>-930.46</v>
          </cell>
          <cell r="AH180">
            <v>-659.26</v>
          </cell>
        </row>
        <row r="181">
          <cell r="J181">
            <v>0</v>
          </cell>
          <cell r="M181">
            <v>15.18</v>
          </cell>
          <cell r="P181">
            <v>15.8</v>
          </cell>
          <cell r="S181">
            <v>16.2</v>
          </cell>
          <cell r="V181">
            <v>16</v>
          </cell>
          <cell r="Y181">
            <v>16.11</v>
          </cell>
          <cell r="AB181">
            <v>16.03</v>
          </cell>
          <cell r="AE181">
            <v>15.46</v>
          </cell>
          <cell r="AH181">
            <v>14.82</v>
          </cell>
        </row>
        <row r="182">
          <cell r="J182">
            <v>0</v>
          </cell>
          <cell r="M182">
            <v>130.04</v>
          </cell>
          <cell r="P182">
            <v>654.77</v>
          </cell>
          <cell r="S182">
            <v>1342.71</v>
          </cell>
          <cell r="V182">
            <v>1989.45</v>
          </cell>
          <cell r="Y182">
            <v>2002.27</v>
          </cell>
          <cell r="AB182">
            <v>1993.51</v>
          </cell>
          <cell r="AE182">
            <v>1921.8</v>
          </cell>
          <cell r="AH182">
            <v>3277</v>
          </cell>
        </row>
        <row r="183">
          <cell r="J183">
            <v>0</v>
          </cell>
          <cell r="M183">
            <v>254</v>
          </cell>
          <cell r="P183">
            <v>264.29000000000002</v>
          </cell>
          <cell r="S183">
            <v>270.99</v>
          </cell>
          <cell r="V183">
            <v>267.68</v>
          </cell>
          <cell r="Y183">
            <v>269.39999999999998</v>
          </cell>
          <cell r="AB183">
            <v>268.22000000000003</v>
          </cell>
          <cell r="AE183">
            <v>258.57</v>
          </cell>
          <cell r="AH183">
            <v>247.84</v>
          </cell>
        </row>
        <row r="184">
          <cell r="J184">
            <v>0</v>
          </cell>
          <cell r="M184">
            <v>0</v>
          </cell>
          <cell r="P184">
            <v>-3003</v>
          </cell>
          <cell r="S184">
            <v>-3003</v>
          </cell>
          <cell r="V184">
            <v>-3003</v>
          </cell>
          <cell r="Y184">
            <v>-3003</v>
          </cell>
          <cell r="AB184">
            <v>-3003</v>
          </cell>
          <cell r="AE184">
            <v>-3003</v>
          </cell>
          <cell r="AH184">
            <v>-3003</v>
          </cell>
        </row>
        <row r="185">
          <cell r="J185">
            <v>0</v>
          </cell>
          <cell r="M185">
            <v>0</v>
          </cell>
          <cell r="P185">
            <v>-651.25</v>
          </cell>
          <cell r="S185">
            <v>0</v>
          </cell>
          <cell r="V185">
            <v>0</v>
          </cell>
          <cell r="Y185">
            <v>0</v>
          </cell>
          <cell r="AB185">
            <v>0</v>
          </cell>
          <cell r="AE185">
            <v>0</v>
          </cell>
          <cell r="AH185">
            <v>0</v>
          </cell>
        </row>
        <row r="186">
          <cell r="J186">
            <v>0</v>
          </cell>
          <cell r="M186">
            <v>0</v>
          </cell>
          <cell r="P186">
            <v>-249.93</v>
          </cell>
          <cell r="S186">
            <v>0</v>
          </cell>
          <cell r="V186">
            <v>0</v>
          </cell>
          <cell r="Y186">
            <v>-305.70999999999998</v>
          </cell>
          <cell r="AB186">
            <v>-304.37</v>
          </cell>
          <cell r="AE186">
            <v>-293.42</v>
          </cell>
          <cell r="AH186">
            <v>-281.25</v>
          </cell>
        </row>
        <row r="187">
          <cell r="J187">
            <v>0</v>
          </cell>
          <cell r="M187">
            <v>0</v>
          </cell>
          <cell r="P187">
            <v>-339.9</v>
          </cell>
          <cell r="S187">
            <v>0</v>
          </cell>
          <cell r="V187">
            <v>0</v>
          </cell>
          <cell r="Y187">
            <v>0</v>
          </cell>
          <cell r="AB187">
            <v>0</v>
          </cell>
          <cell r="AE187">
            <v>0</v>
          </cell>
          <cell r="AH187">
            <v>0</v>
          </cell>
        </row>
        <row r="188">
          <cell r="J188">
            <v>0</v>
          </cell>
          <cell r="M188">
            <v>0</v>
          </cell>
          <cell r="P188">
            <v>0</v>
          </cell>
          <cell r="S188">
            <v>2352.37</v>
          </cell>
          <cell r="V188">
            <v>2323.63</v>
          </cell>
          <cell r="Y188">
            <v>2338.59</v>
          </cell>
          <cell r="AB188">
            <v>2328.37</v>
          </cell>
          <cell r="AE188">
            <v>2244.6</v>
          </cell>
          <cell r="AH188">
            <v>2151.48</v>
          </cell>
        </row>
        <row r="189">
          <cell r="J189">
            <v>0</v>
          </cell>
          <cell r="M189">
            <v>0</v>
          </cell>
          <cell r="P189">
            <v>0</v>
          </cell>
          <cell r="S189">
            <v>307.51</v>
          </cell>
          <cell r="V189">
            <v>303.75</v>
          </cell>
          <cell r="Y189">
            <v>305.70999999999998</v>
          </cell>
          <cell r="AB189">
            <v>304.37</v>
          </cell>
          <cell r="AE189">
            <v>293.42</v>
          </cell>
          <cell r="AH189">
            <v>281.25</v>
          </cell>
        </row>
        <row r="190">
          <cell r="J190">
            <v>0</v>
          </cell>
          <cell r="M190">
            <v>0</v>
          </cell>
          <cell r="P190">
            <v>0</v>
          </cell>
          <cell r="S190">
            <v>0</v>
          </cell>
          <cell r="V190">
            <v>0</v>
          </cell>
          <cell r="Y190">
            <v>0</v>
          </cell>
          <cell r="AB190">
            <v>0</v>
          </cell>
          <cell r="AE190">
            <v>0</v>
          </cell>
          <cell r="AH190">
            <v>165.68</v>
          </cell>
        </row>
        <row r="191">
          <cell r="J191">
            <v>0</v>
          </cell>
          <cell r="M191">
            <v>0</v>
          </cell>
          <cell r="P191">
            <v>-129.47</v>
          </cell>
          <cell r="S191">
            <v>-1518.94</v>
          </cell>
          <cell r="V191">
            <v>-227.71</v>
          </cell>
          <cell r="Y191">
            <v>-2594.11</v>
          </cell>
          <cell r="AB191">
            <v>-228.17</v>
          </cell>
          <cell r="AE191">
            <v>-2489.1999999999998</v>
          </cell>
          <cell r="AH191">
            <v>-5180.67</v>
          </cell>
        </row>
        <row r="192">
          <cell r="J192">
            <v>0</v>
          </cell>
          <cell r="M192">
            <v>0</v>
          </cell>
          <cell r="P192">
            <v>-545.82000000000005</v>
          </cell>
          <cell r="S192">
            <v>-279.82</v>
          </cell>
          <cell r="V192">
            <v>0</v>
          </cell>
          <cell r="Y192">
            <v>0</v>
          </cell>
          <cell r="AB192">
            <v>0</v>
          </cell>
          <cell r="AE192">
            <v>0</v>
          </cell>
          <cell r="AH192">
            <v>0</v>
          </cell>
        </row>
        <row r="193">
          <cell r="J193">
            <v>0</v>
          </cell>
          <cell r="M193">
            <v>0</v>
          </cell>
          <cell r="P193">
            <v>1972.85</v>
          </cell>
          <cell r="S193">
            <v>2022.83</v>
          </cell>
          <cell r="V193">
            <v>1998.11</v>
          </cell>
          <cell r="Y193">
            <v>2010.98</v>
          </cell>
          <cell r="AB193">
            <v>2002.19</v>
          </cell>
          <cell r="AE193">
            <v>1930.16</v>
          </cell>
          <cell r="AH193">
            <v>0</v>
          </cell>
        </row>
        <row r="194">
          <cell r="J194">
            <v>0</v>
          </cell>
          <cell r="M194">
            <v>0</v>
          </cell>
          <cell r="P194">
            <v>-2286.0100000000002</v>
          </cell>
          <cell r="S194">
            <v>0</v>
          </cell>
          <cell r="V194">
            <v>0</v>
          </cell>
          <cell r="Y194">
            <v>2591.7399999999998</v>
          </cell>
          <cell r="AB194">
            <v>-2661.57</v>
          </cell>
          <cell r="AE194">
            <v>2487.58</v>
          </cell>
          <cell r="AH194">
            <v>2384.37</v>
          </cell>
        </row>
        <row r="195">
          <cell r="J195">
            <v>0</v>
          </cell>
          <cell r="M195">
            <v>0</v>
          </cell>
          <cell r="P195">
            <v>0</v>
          </cell>
          <cell r="S195">
            <v>0</v>
          </cell>
          <cell r="V195">
            <v>89.32</v>
          </cell>
          <cell r="Y195">
            <v>89.9</v>
          </cell>
          <cell r="AB195">
            <v>89.5</v>
          </cell>
          <cell r="AE195">
            <v>86.28</v>
          </cell>
          <cell r="AH195">
            <v>82.7</v>
          </cell>
        </row>
        <row r="196">
          <cell r="J196">
            <v>0</v>
          </cell>
          <cell r="M196">
            <v>0</v>
          </cell>
          <cell r="P196">
            <v>0</v>
          </cell>
          <cell r="S196">
            <v>0</v>
          </cell>
          <cell r="V196">
            <v>-3224.85</v>
          </cell>
          <cell r="Y196">
            <v>0</v>
          </cell>
          <cell r="AB196">
            <v>-552.94000000000005</v>
          </cell>
          <cell r="AE196">
            <v>-2577.23</v>
          </cell>
          <cell r="AH196">
            <v>-4070.31</v>
          </cell>
        </row>
        <row r="197">
          <cell r="J197">
            <v>0</v>
          </cell>
          <cell r="M197">
            <v>0</v>
          </cell>
          <cell r="P197">
            <v>0</v>
          </cell>
          <cell r="S197">
            <v>-351.69</v>
          </cell>
          <cell r="V197">
            <v>0</v>
          </cell>
          <cell r="Y197">
            <v>1356.37</v>
          </cell>
          <cell r="AB197">
            <v>1350.44</v>
          </cell>
          <cell r="AE197">
            <v>1301.8499999999999</v>
          </cell>
          <cell r="AH197">
            <v>519.94000000000005</v>
          </cell>
        </row>
        <row r="198">
          <cell r="J198">
            <v>0</v>
          </cell>
          <cell r="M198">
            <v>0</v>
          </cell>
          <cell r="P198">
            <v>0</v>
          </cell>
          <cell r="S198">
            <v>-2685.42</v>
          </cell>
          <cell r="V198">
            <v>-2652.6</v>
          </cell>
          <cell r="Y198">
            <v>-2363.98</v>
          </cell>
          <cell r="AB198">
            <v>-2353.64</v>
          </cell>
          <cell r="AE198">
            <v>-2268.9699999999998</v>
          </cell>
          <cell r="AH198">
            <v>-2174.84</v>
          </cell>
        </row>
        <row r="199">
          <cell r="J199">
            <v>0</v>
          </cell>
          <cell r="M199">
            <v>0</v>
          </cell>
          <cell r="P199">
            <v>0</v>
          </cell>
          <cell r="S199">
            <v>-767.75</v>
          </cell>
          <cell r="V199">
            <v>0</v>
          </cell>
          <cell r="Y199">
            <v>0</v>
          </cell>
          <cell r="AB199">
            <v>0</v>
          </cell>
          <cell r="AE199">
            <v>0</v>
          </cell>
          <cell r="AH199">
            <v>0</v>
          </cell>
        </row>
        <row r="200">
          <cell r="J200">
            <v>0</v>
          </cell>
          <cell r="M200">
            <v>0</v>
          </cell>
          <cell r="P200">
            <v>0</v>
          </cell>
          <cell r="S200">
            <v>-1293.3699999999999</v>
          </cell>
          <cell r="V200">
            <v>0</v>
          </cell>
          <cell r="Y200">
            <v>0</v>
          </cell>
          <cell r="AB200">
            <v>0</v>
          </cell>
          <cell r="AE200">
            <v>0</v>
          </cell>
          <cell r="AH200">
            <v>1182.92</v>
          </cell>
        </row>
        <row r="201">
          <cell r="J201">
            <v>0</v>
          </cell>
          <cell r="M201">
            <v>0</v>
          </cell>
          <cell r="P201">
            <v>0</v>
          </cell>
          <cell r="S201">
            <v>-319</v>
          </cell>
          <cell r="V201">
            <v>0</v>
          </cell>
          <cell r="Y201">
            <v>0</v>
          </cell>
          <cell r="AB201">
            <v>0</v>
          </cell>
          <cell r="AE201">
            <v>0</v>
          </cell>
          <cell r="AH201">
            <v>0</v>
          </cell>
        </row>
        <row r="202">
          <cell r="J202">
            <v>0</v>
          </cell>
          <cell r="M202">
            <v>0</v>
          </cell>
          <cell r="P202">
            <v>0</v>
          </cell>
          <cell r="S202">
            <v>0</v>
          </cell>
          <cell r="V202">
            <v>1096.8900000000001</v>
          </cell>
          <cell r="Y202">
            <v>0</v>
          </cell>
          <cell r="AB202">
            <v>0</v>
          </cell>
          <cell r="AE202">
            <v>0</v>
          </cell>
          <cell r="AH202">
            <v>0</v>
          </cell>
        </row>
        <row r="203">
          <cell r="J203">
            <v>0</v>
          </cell>
          <cell r="M203">
            <v>0</v>
          </cell>
          <cell r="P203">
            <v>0</v>
          </cell>
          <cell r="S203">
            <v>0</v>
          </cell>
          <cell r="V203">
            <v>989.23</v>
          </cell>
          <cell r="Y203">
            <v>995.61</v>
          </cell>
          <cell r="AB203">
            <v>0</v>
          </cell>
          <cell r="AE203">
            <v>0</v>
          </cell>
          <cell r="AH203">
            <v>0</v>
          </cell>
        </row>
        <row r="204">
          <cell r="J204">
            <v>0</v>
          </cell>
          <cell r="M204">
            <v>0</v>
          </cell>
          <cell r="P204">
            <v>0</v>
          </cell>
          <cell r="S204">
            <v>0</v>
          </cell>
          <cell r="V204">
            <v>-2279.21</v>
          </cell>
          <cell r="Y204">
            <v>-2293.89</v>
          </cell>
          <cell r="AB204">
            <v>-2283.86</v>
          </cell>
          <cell r="AE204">
            <v>0</v>
          </cell>
          <cell r="AH204">
            <v>-221.09</v>
          </cell>
        </row>
        <row r="205">
          <cell r="J205">
            <v>0</v>
          </cell>
          <cell r="M205">
            <v>0</v>
          </cell>
          <cell r="P205">
            <v>0</v>
          </cell>
          <cell r="S205">
            <v>0</v>
          </cell>
          <cell r="V205">
            <v>0</v>
          </cell>
          <cell r="Y205">
            <v>0</v>
          </cell>
          <cell r="AB205">
            <v>-5749.56</v>
          </cell>
          <cell r="AE205">
            <v>-3372.96</v>
          </cell>
          <cell r="AH205">
            <v>62.5</v>
          </cell>
        </row>
        <row r="206">
          <cell r="J206">
            <v>0</v>
          </cell>
          <cell r="M206">
            <v>0</v>
          </cell>
          <cell r="P206">
            <v>0</v>
          </cell>
          <cell r="S206">
            <v>0</v>
          </cell>
          <cell r="V206">
            <v>0</v>
          </cell>
          <cell r="Y206">
            <v>2315.36</v>
          </cell>
          <cell r="AB206">
            <v>2305.23</v>
          </cell>
          <cell r="AE206">
            <v>2222.3000000000002</v>
          </cell>
          <cell r="AH206">
            <v>5620.89</v>
          </cell>
        </row>
        <row r="207">
          <cell r="J207">
            <v>0</v>
          </cell>
          <cell r="M207">
            <v>0</v>
          </cell>
          <cell r="P207">
            <v>0</v>
          </cell>
          <cell r="S207">
            <v>0</v>
          </cell>
          <cell r="V207">
            <v>0</v>
          </cell>
          <cell r="Y207">
            <v>0</v>
          </cell>
          <cell r="AB207">
            <v>2111.66</v>
          </cell>
          <cell r="AE207">
            <v>-146.71</v>
          </cell>
          <cell r="AH207">
            <v>-140.62</v>
          </cell>
        </row>
        <row r="208">
          <cell r="J208">
            <v>0</v>
          </cell>
          <cell r="M208">
            <v>0</v>
          </cell>
          <cell r="P208">
            <v>0</v>
          </cell>
          <cell r="S208">
            <v>0</v>
          </cell>
          <cell r="V208">
            <v>0</v>
          </cell>
          <cell r="Y208">
            <v>0</v>
          </cell>
          <cell r="AB208">
            <v>-2486.88</v>
          </cell>
          <cell r="AE208">
            <v>0</v>
          </cell>
          <cell r="AH208">
            <v>-572.74</v>
          </cell>
        </row>
        <row r="209">
          <cell r="J209">
            <v>0</v>
          </cell>
          <cell r="M209">
            <v>0</v>
          </cell>
          <cell r="P209">
            <v>0</v>
          </cell>
          <cell r="S209">
            <v>0</v>
          </cell>
          <cell r="V209">
            <v>0</v>
          </cell>
          <cell r="Y209">
            <v>0</v>
          </cell>
          <cell r="AB209">
            <v>-1361.22</v>
          </cell>
          <cell r="AE209">
            <v>0</v>
          </cell>
          <cell r="AH209">
            <v>0</v>
          </cell>
        </row>
        <row r="210">
          <cell r="J210">
            <v>0</v>
          </cell>
          <cell r="M210">
            <v>0</v>
          </cell>
          <cell r="P210">
            <v>0</v>
          </cell>
          <cell r="S210">
            <v>0</v>
          </cell>
          <cell r="V210">
            <v>0</v>
          </cell>
          <cell r="Y210">
            <v>0</v>
          </cell>
          <cell r="AB210">
            <v>-1486.36</v>
          </cell>
          <cell r="AE210">
            <v>3295.47</v>
          </cell>
          <cell r="AH210">
            <v>3158.75</v>
          </cell>
        </row>
        <row r="211">
          <cell r="J211">
            <v>0</v>
          </cell>
          <cell r="M211">
            <v>0</v>
          </cell>
          <cell r="P211">
            <v>0</v>
          </cell>
          <cell r="S211">
            <v>0</v>
          </cell>
          <cell r="V211">
            <v>0</v>
          </cell>
          <cell r="Y211">
            <v>0</v>
          </cell>
          <cell r="AB211">
            <v>85.09</v>
          </cell>
          <cell r="AE211">
            <v>316.95999999999998</v>
          </cell>
          <cell r="AH211">
            <v>1209.43</v>
          </cell>
        </row>
        <row r="212">
          <cell r="J212">
            <v>0</v>
          </cell>
          <cell r="M212">
            <v>0</v>
          </cell>
          <cell r="P212">
            <v>0</v>
          </cell>
          <cell r="S212">
            <v>0</v>
          </cell>
          <cell r="V212">
            <v>0</v>
          </cell>
          <cell r="Y212">
            <v>0</v>
          </cell>
          <cell r="AB212">
            <v>1223.32</v>
          </cell>
          <cell r="AE212">
            <v>1179.31</v>
          </cell>
          <cell r="AH212">
            <v>1130.3900000000001</v>
          </cell>
        </row>
        <row r="213">
          <cell r="J213">
            <v>0</v>
          </cell>
          <cell r="M213">
            <v>0</v>
          </cell>
          <cell r="P213">
            <v>0</v>
          </cell>
          <cell r="S213">
            <v>0</v>
          </cell>
          <cell r="V213">
            <v>0</v>
          </cell>
          <cell r="Y213">
            <v>0</v>
          </cell>
          <cell r="AB213">
            <v>0</v>
          </cell>
          <cell r="AE213">
            <v>36</v>
          </cell>
          <cell r="AH213">
            <v>0</v>
          </cell>
        </row>
        <row r="214">
          <cell r="J214">
            <v>0</v>
          </cell>
          <cell r="M214">
            <v>0</v>
          </cell>
          <cell r="P214">
            <v>0</v>
          </cell>
          <cell r="S214">
            <v>0</v>
          </cell>
          <cell r="V214">
            <v>0</v>
          </cell>
          <cell r="Y214">
            <v>0</v>
          </cell>
          <cell r="AB214">
            <v>0</v>
          </cell>
          <cell r="AE214">
            <v>3097.25</v>
          </cell>
          <cell r="AH214">
            <v>2484.38</v>
          </cell>
        </row>
        <row r="215">
          <cell r="J215">
            <v>0</v>
          </cell>
          <cell r="M215">
            <v>0</v>
          </cell>
          <cell r="P215">
            <v>0</v>
          </cell>
          <cell r="S215">
            <v>0</v>
          </cell>
          <cell r="V215">
            <v>0</v>
          </cell>
          <cell r="Y215">
            <v>0</v>
          </cell>
          <cell r="AB215">
            <v>0</v>
          </cell>
          <cell r="AE215">
            <v>-1075.8900000000001</v>
          </cell>
          <cell r="AH215">
            <v>0</v>
          </cell>
        </row>
        <row r="216">
          <cell r="J216">
            <v>0</v>
          </cell>
          <cell r="M216">
            <v>0</v>
          </cell>
          <cell r="P216">
            <v>0</v>
          </cell>
          <cell r="S216">
            <v>0</v>
          </cell>
          <cell r="V216">
            <v>0</v>
          </cell>
          <cell r="Y216">
            <v>0</v>
          </cell>
          <cell r="AB216">
            <v>0</v>
          </cell>
          <cell r="AE216">
            <v>-81.510000000000005</v>
          </cell>
          <cell r="AH216">
            <v>0</v>
          </cell>
        </row>
        <row r="217">
          <cell r="J217">
            <v>0</v>
          </cell>
          <cell r="M217">
            <v>0</v>
          </cell>
          <cell r="P217">
            <v>0</v>
          </cell>
          <cell r="S217">
            <v>0</v>
          </cell>
          <cell r="V217">
            <v>0</v>
          </cell>
          <cell r="Y217">
            <v>0</v>
          </cell>
          <cell r="AB217">
            <v>0</v>
          </cell>
          <cell r="AE217">
            <v>-2200.67</v>
          </cell>
          <cell r="AH217">
            <v>0</v>
          </cell>
        </row>
        <row r="218">
          <cell r="J218">
            <v>0</v>
          </cell>
          <cell r="M218">
            <v>0</v>
          </cell>
          <cell r="P218">
            <v>0</v>
          </cell>
          <cell r="S218">
            <v>0</v>
          </cell>
          <cell r="V218">
            <v>0</v>
          </cell>
          <cell r="Y218">
            <v>0</v>
          </cell>
          <cell r="AB218">
            <v>0</v>
          </cell>
          <cell r="AE218">
            <v>0</v>
          </cell>
          <cell r="AH218">
            <v>-122.31</v>
          </cell>
        </row>
        <row r="219">
          <cell r="J219">
            <v>0</v>
          </cell>
          <cell r="M219">
            <v>0</v>
          </cell>
          <cell r="P219">
            <v>0</v>
          </cell>
          <cell r="S219">
            <v>0</v>
          </cell>
          <cell r="V219">
            <v>0</v>
          </cell>
          <cell r="Y219">
            <v>0</v>
          </cell>
          <cell r="AB219">
            <v>0</v>
          </cell>
          <cell r="AE219">
            <v>0</v>
          </cell>
          <cell r="AH219">
            <v>1562.5</v>
          </cell>
        </row>
        <row r="220">
          <cell r="J220">
            <v>0</v>
          </cell>
          <cell r="M220">
            <v>0</v>
          </cell>
          <cell r="P220">
            <v>0</v>
          </cell>
          <cell r="S220">
            <v>0</v>
          </cell>
          <cell r="V220">
            <v>0</v>
          </cell>
          <cell r="Y220">
            <v>0</v>
          </cell>
          <cell r="AB220">
            <v>0</v>
          </cell>
          <cell r="AE220">
            <v>0</v>
          </cell>
          <cell r="AH220">
            <v>-1406.25</v>
          </cell>
        </row>
        <row r="221">
          <cell r="J221">
            <v>0</v>
          </cell>
          <cell r="M221">
            <v>0</v>
          </cell>
          <cell r="P221">
            <v>0</v>
          </cell>
          <cell r="S221">
            <v>0</v>
          </cell>
          <cell r="V221">
            <v>0</v>
          </cell>
          <cell r="Y221">
            <v>0</v>
          </cell>
          <cell r="AB221">
            <v>0</v>
          </cell>
          <cell r="AE221">
            <v>0</v>
          </cell>
          <cell r="AH221">
            <v>40.409999999999997</v>
          </cell>
        </row>
        <row r="222">
          <cell r="J222">
            <v>0</v>
          </cell>
          <cell r="M222">
            <v>0</v>
          </cell>
          <cell r="P222">
            <v>0</v>
          </cell>
          <cell r="S222">
            <v>0</v>
          </cell>
          <cell r="V222">
            <v>0</v>
          </cell>
          <cell r="Y222">
            <v>0</v>
          </cell>
          <cell r="AB222">
            <v>0</v>
          </cell>
          <cell r="AE222">
            <v>0</v>
          </cell>
          <cell r="AH222">
            <v>418.39</v>
          </cell>
        </row>
        <row r="223">
          <cell r="J223">
            <v>0</v>
          </cell>
          <cell r="M223">
            <v>0</v>
          </cell>
          <cell r="P223">
            <v>0</v>
          </cell>
          <cell r="S223">
            <v>0</v>
          </cell>
          <cell r="V223">
            <v>0</v>
          </cell>
          <cell r="Y223">
            <v>0</v>
          </cell>
          <cell r="AB223">
            <v>0</v>
          </cell>
          <cell r="AE223">
            <v>0</v>
          </cell>
          <cell r="AH223">
            <v>646.54999999999995</v>
          </cell>
        </row>
        <row r="224">
          <cell r="J224">
            <v>0</v>
          </cell>
          <cell r="M224">
            <v>0</v>
          </cell>
          <cell r="P224">
            <v>0</v>
          </cell>
          <cell r="S224">
            <v>0</v>
          </cell>
          <cell r="V224">
            <v>0</v>
          </cell>
          <cell r="Y224">
            <v>0</v>
          </cell>
          <cell r="AB224">
            <v>0</v>
          </cell>
          <cell r="AE224">
            <v>0</v>
          </cell>
          <cell r="AH224">
            <v>-1518.86</v>
          </cell>
        </row>
        <row r="225">
          <cell r="J225">
            <v>0</v>
          </cell>
          <cell r="M225">
            <v>0</v>
          </cell>
          <cell r="P225">
            <v>0</v>
          </cell>
          <cell r="S225">
            <v>0</v>
          </cell>
          <cell r="V225">
            <v>0</v>
          </cell>
          <cell r="Y225">
            <v>0</v>
          </cell>
          <cell r="AB225">
            <v>0</v>
          </cell>
          <cell r="AE225">
            <v>0</v>
          </cell>
          <cell r="AH225">
            <v>759.43</v>
          </cell>
        </row>
        <row r="226">
          <cell r="J226">
            <v>0</v>
          </cell>
          <cell r="M226">
            <v>0</v>
          </cell>
          <cell r="P226">
            <v>0</v>
          </cell>
          <cell r="S226">
            <v>0</v>
          </cell>
          <cell r="V226">
            <v>0</v>
          </cell>
          <cell r="Y226">
            <v>0</v>
          </cell>
          <cell r="AB226">
            <v>0</v>
          </cell>
          <cell r="AE226">
            <v>0</v>
          </cell>
          <cell r="AH226">
            <v>-292.19</v>
          </cell>
        </row>
        <row r="227">
          <cell r="J227">
            <v>0</v>
          </cell>
          <cell r="M227">
            <v>0</v>
          </cell>
          <cell r="P227">
            <v>0</v>
          </cell>
          <cell r="S227">
            <v>0</v>
          </cell>
          <cell r="V227">
            <v>0</v>
          </cell>
          <cell r="Y227">
            <v>7.72</v>
          </cell>
          <cell r="AB227">
            <v>0</v>
          </cell>
          <cell r="AE227">
            <v>0</v>
          </cell>
          <cell r="AH227">
            <v>0</v>
          </cell>
        </row>
        <row r="228">
          <cell r="J228">
            <v>0</v>
          </cell>
          <cell r="M228">
            <v>0</v>
          </cell>
          <cell r="P228">
            <v>0</v>
          </cell>
          <cell r="S228">
            <v>0</v>
          </cell>
          <cell r="V228">
            <v>0</v>
          </cell>
          <cell r="Y228">
            <v>165.82</v>
          </cell>
          <cell r="AB228">
            <v>165.09</v>
          </cell>
          <cell r="AE228">
            <v>159.15</v>
          </cell>
          <cell r="AH228">
            <v>152.55000000000001</v>
          </cell>
        </row>
        <row r="229">
          <cell r="J229">
            <v>0</v>
          </cell>
          <cell r="M229">
            <v>0</v>
          </cell>
          <cell r="P229">
            <v>0</v>
          </cell>
          <cell r="S229">
            <v>0</v>
          </cell>
          <cell r="V229">
            <v>0</v>
          </cell>
          <cell r="Y229">
            <v>0</v>
          </cell>
          <cell r="AB229">
            <v>0</v>
          </cell>
          <cell r="AE229">
            <v>240.5</v>
          </cell>
          <cell r="AH229">
            <v>240.5</v>
          </cell>
        </row>
        <row r="230">
          <cell r="J230">
            <v>0</v>
          </cell>
          <cell r="M230">
            <v>0</v>
          </cell>
          <cell r="P230">
            <v>0</v>
          </cell>
          <cell r="S230">
            <v>0</v>
          </cell>
          <cell r="V230">
            <v>0</v>
          </cell>
          <cell r="Y230">
            <v>0</v>
          </cell>
          <cell r="AB230">
            <v>0</v>
          </cell>
          <cell r="AE230">
            <v>0</v>
          </cell>
          <cell r="AH230">
            <v>0</v>
          </cell>
        </row>
        <row r="231">
          <cell r="J231">
            <v>0</v>
          </cell>
          <cell r="M231">
            <v>0</v>
          </cell>
          <cell r="P231">
            <v>0</v>
          </cell>
          <cell r="S231">
            <v>0</v>
          </cell>
          <cell r="V231">
            <v>0</v>
          </cell>
          <cell r="Y231">
            <v>0</v>
          </cell>
          <cell r="AB231">
            <v>0</v>
          </cell>
          <cell r="AE231">
            <v>0</v>
          </cell>
          <cell r="AH231">
            <v>-850</v>
          </cell>
        </row>
        <row r="232">
          <cell r="J232">
            <v>0</v>
          </cell>
          <cell r="M232">
            <v>0</v>
          </cell>
          <cell r="P232">
            <v>0</v>
          </cell>
          <cell r="S232">
            <v>0</v>
          </cell>
          <cell r="V232">
            <v>0</v>
          </cell>
          <cell r="Y232">
            <v>0</v>
          </cell>
          <cell r="AB232">
            <v>0</v>
          </cell>
          <cell r="AE232">
            <v>0</v>
          </cell>
          <cell r="AH232">
            <v>-71.88</v>
          </cell>
        </row>
        <row r="233">
          <cell r="J233">
            <v>0</v>
          </cell>
          <cell r="M233">
            <v>0</v>
          </cell>
          <cell r="P233">
            <v>0</v>
          </cell>
          <cell r="S233">
            <v>0</v>
          </cell>
          <cell r="V233">
            <v>0</v>
          </cell>
          <cell r="Y233">
            <v>0</v>
          </cell>
          <cell r="AB233">
            <v>0</v>
          </cell>
          <cell r="AE233">
            <v>0</v>
          </cell>
          <cell r="AH233">
            <v>-16789</v>
          </cell>
        </row>
        <row r="234">
          <cell r="J234">
            <v>0</v>
          </cell>
          <cell r="M234">
            <v>0</v>
          </cell>
          <cell r="P234">
            <v>0</v>
          </cell>
          <cell r="S234">
            <v>0</v>
          </cell>
          <cell r="V234">
            <v>0</v>
          </cell>
          <cell r="Y234">
            <v>0</v>
          </cell>
          <cell r="AB234">
            <v>0</v>
          </cell>
          <cell r="AE234">
            <v>0</v>
          </cell>
          <cell r="AH234">
            <v>-772.94</v>
          </cell>
        </row>
        <row r="235">
          <cell r="J235">
            <v>-4662.2596495956859</v>
          </cell>
          <cell r="M235">
            <v>-7437</v>
          </cell>
          <cell r="P235">
            <v>-24690.38</v>
          </cell>
          <cell r="S235">
            <v>-61045.11</v>
          </cell>
          <cell r="V235">
            <v>-36333.40582775676</v>
          </cell>
          <cell r="Y235">
            <v>-89604.42</v>
          </cell>
          <cell r="AB235">
            <v>-63777.5</v>
          </cell>
          <cell r="AE235">
            <v>-54376.03</v>
          </cell>
          <cell r="AH235">
            <v>-105244.74</v>
          </cell>
        </row>
        <row r="236">
          <cell r="J236">
            <v>0</v>
          </cell>
          <cell r="M236">
            <v>42465.49</v>
          </cell>
          <cell r="P236">
            <v>0</v>
          </cell>
          <cell r="S236">
            <v>34194.11</v>
          </cell>
          <cell r="V236">
            <v>0</v>
          </cell>
          <cell r="Y236">
            <v>0</v>
          </cell>
          <cell r="AB236">
            <v>0</v>
          </cell>
          <cell r="AE236">
            <v>28689.16</v>
          </cell>
          <cell r="AH236">
            <v>0</v>
          </cell>
        </row>
        <row r="237">
          <cell r="J237">
            <v>0</v>
          </cell>
          <cell r="M237">
            <v>0</v>
          </cell>
          <cell r="P237">
            <v>0</v>
          </cell>
          <cell r="S237">
            <v>0</v>
          </cell>
          <cell r="V237">
            <v>0</v>
          </cell>
          <cell r="Y237">
            <v>0</v>
          </cell>
          <cell r="AB237">
            <v>0</v>
          </cell>
          <cell r="AE237">
            <v>0</v>
          </cell>
          <cell r="AH237">
            <v>0</v>
          </cell>
        </row>
        <row r="238">
          <cell r="J238">
            <v>13288.18</v>
          </cell>
          <cell r="M238">
            <v>-0.01</v>
          </cell>
          <cell r="P238">
            <v>13179.65</v>
          </cell>
          <cell r="S238">
            <v>0.01</v>
          </cell>
          <cell r="V238">
            <v>10145.86</v>
          </cell>
          <cell r="Y238">
            <v>26056.240000000002</v>
          </cell>
          <cell r="AB238">
            <v>8812.0300000000007</v>
          </cell>
          <cell r="AE238">
            <v>-0.01</v>
          </cell>
          <cell r="AH238">
            <v>18889</v>
          </cell>
        </row>
        <row r="239">
          <cell r="J239">
            <v>1737.74</v>
          </cell>
          <cell r="M239">
            <v>-0.09</v>
          </cell>
          <cell r="P239">
            <v>3193.83</v>
          </cell>
          <cell r="S239">
            <v>-0.01</v>
          </cell>
          <cell r="V239">
            <v>223.97</v>
          </cell>
          <cell r="Y239">
            <v>5009.18</v>
          </cell>
          <cell r="AB239">
            <v>982.82</v>
          </cell>
          <cell r="AE239">
            <v>-0.01</v>
          </cell>
          <cell r="AH239">
            <v>2882.03</v>
          </cell>
        </row>
        <row r="240">
          <cell r="J240">
            <v>-4049.6</v>
          </cell>
          <cell r="M240">
            <v>-4147.9799999999996</v>
          </cell>
          <cell r="P240">
            <v>0</v>
          </cell>
          <cell r="S240">
            <v>0</v>
          </cell>
          <cell r="V240">
            <v>0</v>
          </cell>
          <cell r="Y240">
            <v>0</v>
          </cell>
          <cell r="AB240">
            <v>0</v>
          </cell>
          <cell r="AE240">
            <v>0</v>
          </cell>
          <cell r="AH240">
            <v>0</v>
          </cell>
        </row>
        <row r="241">
          <cell r="J241">
            <v>4049.6</v>
          </cell>
          <cell r="M241">
            <v>4147.9799999999996</v>
          </cell>
          <cell r="P241">
            <v>0</v>
          </cell>
          <cell r="S241">
            <v>0</v>
          </cell>
          <cell r="V241">
            <v>0</v>
          </cell>
          <cell r="Y241">
            <v>0</v>
          </cell>
          <cell r="AB241">
            <v>0</v>
          </cell>
          <cell r="AE241">
            <v>0</v>
          </cell>
          <cell r="AH241">
            <v>0</v>
          </cell>
        </row>
        <row r="242">
          <cell r="J242">
            <v>-13950.94</v>
          </cell>
          <cell r="M242">
            <v>-36286.58</v>
          </cell>
          <cell r="P242">
            <v>-18332.66</v>
          </cell>
          <cell r="S242">
            <v>-20034.759999999998</v>
          </cell>
          <cell r="V242">
            <v>-21958.975851032879</v>
          </cell>
          <cell r="Y242">
            <v>-23340.85</v>
          </cell>
          <cell r="AB242">
            <v>-47963.56</v>
          </cell>
          <cell r="AE242">
            <v>-23498.59</v>
          </cell>
          <cell r="AH242">
            <v>-21271.03</v>
          </cell>
        </row>
        <row r="243">
          <cell r="J243">
            <v>-10340.970350404314</v>
          </cell>
          <cell r="M243">
            <v>-14086.42</v>
          </cell>
          <cell r="P243">
            <v>-14501.58</v>
          </cell>
          <cell r="S243">
            <v>-16038.29</v>
          </cell>
          <cell r="V243">
            <v>-16321.501309281351</v>
          </cell>
          <cell r="Y243">
            <v>-17267.939999999999</v>
          </cell>
          <cell r="AB243">
            <v>-26194.17</v>
          </cell>
          <cell r="AE243">
            <v>-16650.37</v>
          </cell>
          <cell r="AH243">
            <v>-15721.44</v>
          </cell>
        </row>
        <row r="244">
          <cell r="J244">
            <v>0</v>
          </cell>
          <cell r="M244">
            <v>0</v>
          </cell>
          <cell r="P244">
            <v>0</v>
          </cell>
          <cell r="S244">
            <v>0</v>
          </cell>
          <cell r="V244">
            <v>0</v>
          </cell>
          <cell r="Y244">
            <v>0</v>
          </cell>
          <cell r="AB244">
            <v>0</v>
          </cell>
          <cell r="AE244">
            <v>0</v>
          </cell>
          <cell r="AH244">
            <v>0</v>
          </cell>
        </row>
        <row r="245">
          <cell r="J245">
            <v>0</v>
          </cell>
          <cell r="M245">
            <v>0</v>
          </cell>
          <cell r="P245">
            <v>0</v>
          </cell>
          <cell r="S245">
            <v>0</v>
          </cell>
          <cell r="V245">
            <v>0</v>
          </cell>
          <cell r="Y245">
            <v>0</v>
          </cell>
          <cell r="AB245">
            <v>0</v>
          </cell>
          <cell r="AE245">
            <v>0</v>
          </cell>
          <cell r="AH245">
            <v>0</v>
          </cell>
        </row>
        <row r="246">
          <cell r="J246">
            <v>0</v>
          </cell>
          <cell r="M246">
            <v>0</v>
          </cell>
          <cell r="P246">
            <v>0</v>
          </cell>
          <cell r="S246">
            <v>0</v>
          </cell>
          <cell r="V246">
            <v>0</v>
          </cell>
          <cell r="Y246">
            <v>0</v>
          </cell>
          <cell r="AB246">
            <v>0</v>
          </cell>
          <cell r="AE246">
            <v>0</v>
          </cell>
          <cell r="AH246">
            <v>0</v>
          </cell>
        </row>
        <row r="247">
          <cell r="J247">
            <v>1886.79</v>
          </cell>
          <cell r="M247">
            <v>1932.63</v>
          </cell>
          <cell r="P247">
            <v>2010.92</v>
          </cell>
          <cell r="S247">
            <v>2061.86</v>
          </cell>
          <cell r="V247">
            <v>2036.66</v>
          </cell>
          <cell r="Y247">
            <v>2049.7800000000002</v>
          </cell>
          <cell r="AB247">
            <v>2040.82</v>
          </cell>
          <cell r="AE247">
            <v>1967.4</v>
          </cell>
          <cell r="AH247">
            <v>1885.78</v>
          </cell>
        </row>
        <row r="248">
          <cell r="J248">
            <v>449.06</v>
          </cell>
          <cell r="M248">
            <v>459.97</v>
          </cell>
          <cell r="P248">
            <v>478.6</v>
          </cell>
          <cell r="S248">
            <v>490.72</v>
          </cell>
          <cell r="V248">
            <v>484.73</v>
          </cell>
          <cell r="Y248">
            <v>487.85</v>
          </cell>
          <cell r="AB248">
            <v>485.71</v>
          </cell>
          <cell r="AE248">
            <v>468.24</v>
          </cell>
          <cell r="AH248">
            <v>448.81</v>
          </cell>
        </row>
        <row r="249">
          <cell r="J249">
            <v>3504.04</v>
          </cell>
          <cell r="M249">
            <v>3589.18</v>
          </cell>
          <cell r="P249">
            <v>3734.56</v>
          </cell>
          <cell r="S249">
            <v>3829.16</v>
          </cell>
          <cell r="V249">
            <v>3782.37</v>
          </cell>
          <cell r="Y249">
            <v>3806.73</v>
          </cell>
          <cell r="AB249">
            <v>3790.09</v>
          </cell>
          <cell r="AE249">
            <v>3653.74</v>
          </cell>
          <cell r="AH249">
            <v>3502.16</v>
          </cell>
        </row>
        <row r="250">
          <cell r="J250">
            <v>0</v>
          </cell>
          <cell r="M250">
            <v>0</v>
          </cell>
          <cell r="P250">
            <v>0</v>
          </cell>
          <cell r="S250">
            <v>0</v>
          </cell>
          <cell r="V250">
            <v>2924.35</v>
          </cell>
          <cell r="Y250">
            <v>2943.19</v>
          </cell>
          <cell r="AB250">
            <v>2930.32</v>
          </cell>
          <cell r="AE250">
            <v>4827.71</v>
          </cell>
          <cell r="AH250">
            <v>4627.42</v>
          </cell>
        </row>
        <row r="251">
          <cell r="J251">
            <v>0</v>
          </cell>
          <cell r="M251">
            <v>0</v>
          </cell>
          <cell r="P251">
            <v>0</v>
          </cell>
          <cell r="S251">
            <v>631.80999999999995</v>
          </cell>
          <cell r="V251">
            <v>624.09</v>
          </cell>
          <cell r="Y251">
            <v>1260.9100000000001</v>
          </cell>
          <cell r="AB251">
            <v>1255.3900000000001</v>
          </cell>
          <cell r="AE251">
            <v>1210.23</v>
          </cell>
          <cell r="AH251">
            <v>0</v>
          </cell>
        </row>
        <row r="252">
          <cell r="J252">
            <v>-13709.43</v>
          </cell>
          <cell r="M252">
            <v>-14888.74</v>
          </cell>
          <cell r="P252">
            <v>-23027.58</v>
          </cell>
          <cell r="S252">
            <v>-18958.169999999998</v>
          </cell>
          <cell r="V252">
            <v>-18883.037532732036</v>
          </cell>
          <cell r="Y252">
            <v>-22450.080000000002</v>
          </cell>
          <cell r="AB252">
            <v>0</v>
          </cell>
          <cell r="AE252">
            <v>-25340.63</v>
          </cell>
          <cell r="AH252">
            <v>-17129.04</v>
          </cell>
        </row>
        <row r="253">
          <cell r="J253">
            <v>0</v>
          </cell>
          <cell r="M253">
            <v>0</v>
          </cell>
          <cell r="P253">
            <v>0</v>
          </cell>
          <cell r="S253">
            <v>-10587.92</v>
          </cell>
          <cell r="V253">
            <v>-3727.9594791969744</v>
          </cell>
          <cell r="Y253">
            <v>-0.28999999999999998</v>
          </cell>
          <cell r="AB253">
            <v>0</v>
          </cell>
          <cell r="AE253">
            <v>-2783.31</v>
          </cell>
          <cell r="AH253">
            <v>-2667.83</v>
          </cell>
        </row>
        <row r="254">
          <cell r="J254">
            <v>-42418.6</v>
          </cell>
          <cell r="M254">
            <v>-53867.75</v>
          </cell>
          <cell r="P254">
            <v>-61811.55</v>
          </cell>
          <cell r="S254">
            <v>-60321.94</v>
          </cell>
          <cell r="V254">
            <v>-68899.039999999994</v>
          </cell>
          <cell r="Y254">
            <v>-67436.02</v>
          </cell>
          <cell r="AB254">
            <v>-71879.59</v>
          </cell>
          <cell r="AE254">
            <v>-55640.53</v>
          </cell>
          <cell r="AH254">
            <v>-57852.639999999999</v>
          </cell>
        </row>
        <row r="255">
          <cell r="J255">
            <v>0</v>
          </cell>
          <cell r="M255">
            <v>0</v>
          </cell>
          <cell r="P255">
            <v>2840.51</v>
          </cell>
          <cell r="S255">
            <v>2912.47</v>
          </cell>
          <cell r="V255">
            <v>2876.88</v>
          </cell>
          <cell r="Y255">
            <v>2895.41</v>
          </cell>
          <cell r="AB255">
            <v>1294.75</v>
          </cell>
          <cell r="AE255">
            <v>1248.17</v>
          </cell>
          <cell r="AH255">
            <v>0</v>
          </cell>
        </row>
        <row r="256">
          <cell r="J256">
            <v>-931.28</v>
          </cell>
          <cell r="M256">
            <v>0</v>
          </cell>
          <cell r="P256">
            <v>0</v>
          </cell>
          <cell r="S256">
            <v>306.89</v>
          </cell>
          <cell r="V256">
            <v>-433.79</v>
          </cell>
          <cell r="Y256">
            <v>-436.7</v>
          </cell>
          <cell r="AB256">
            <v>0</v>
          </cell>
          <cell r="AE256">
            <v>0</v>
          </cell>
          <cell r="AH256">
            <v>124.15</v>
          </cell>
        </row>
        <row r="257">
          <cell r="J257">
            <v>0</v>
          </cell>
          <cell r="M257">
            <v>0</v>
          </cell>
          <cell r="P257">
            <v>0</v>
          </cell>
          <cell r="S257">
            <v>0</v>
          </cell>
          <cell r="V257">
            <v>0.04</v>
          </cell>
          <cell r="Y257">
            <v>0.04</v>
          </cell>
          <cell r="AB257">
            <v>0</v>
          </cell>
          <cell r="AE257">
            <v>0</v>
          </cell>
          <cell r="AH257">
            <v>0</v>
          </cell>
        </row>
        <row r="258">
          <cell r="J258">
            <v>0</v>
          </cell>
          <cell r="M258">
            <v>0</v>
          </cell>
          <cell r="P258">
            <v>0</v>
          </cell>
          <cell r="S258">
            <v>0</v>
          </cell>
          <cell r="V258">
            <v>2355.54</v>
          </cell>
          <cell r="Y258">
            <v>2375.3000000000002</v>
          </cell>
          <cell r="AB258">
            <v>1367.06</v>
          </cell>
          <cell r="AE258">
            <v>1317.88</v>
          </cell>
          <cell r="AH258">
            <v>0</v>
          </cell>
        </row>
        <row r="259">
          <cell r="J259">
            <v>0</v>
          </cell>
          <cell r="M259">
            <v>0</v>
          </cell>
          <cell r="P259">
            <v>0</v>
          </cell>
          <cell r="S259">
            <v>0</v>
          </cell>
          <cell r="V259">
            <v>3339.9</v>
          </cell>
          <cell r="Y259">
            <v>3361.42</v>
          </cell>
          <cell r="AB259">
            <v>0</v>
          </cell>
          <cell r="AE259">
            <v>0</v>
          </cell>
          <cell r="AH259">
            <v>0</v>
          </cell>
        </row>
        <row r="260">
          <cell r="J260">
            <v>0</v>
          </cell>
          <cell r="M260">
            <v>0</v>
          </cell>
          <cell r="P260">
            <v>458.92</v>
          </cell>
          <cell r="S260">
            <v>0</v>
          </cell>
          <cell r="V260">
            <v>-119.48</v>
          </cell>
          <cell r="Y260">
            <v>-524.52</v>
          </cell>
          <cell r="AB260">
            <v>-1789.73</v>
          </cell>
          <cell r="AE260">
            <v>0</v>
          </cell>
          <cell r="AH260">
            <v>0</v>
          </cell>
        </row>
        <row r="261">
          <cell r="J261">
            <v>0</v>
          </cell>
          <cell r="M261">
            <v>0</v>
          </cell>
          <cell r="P261">
            <v>0</v>
          </cell>
          <cell r="S261">
            <v>0</v>
          </cell>
          <cell r="V261">
            <v>0</v>
          </cell>
          <cell r="Y261">
            <v>-227.17</v>
          </cell>
          <cell r="AB261">
            <v>0</v>
          </cell>
          <cell r="AE261">
            <v>0</v>
          </cell>
          <cell r="AH261">
            <v>0</v>
          </cell>
        </row>
        <row r="262">
          <cell r="J262">
            <v>0</v>
          </cell>
          <cell r="M262">
            <v>-156.76</v>
          </cell>
          <cell r="P262">
            <v>1114.52</v>
          </cell>
          <cell r="S262">
            <v>0</v>
          </cell>
          <cell r="V262">
            <v>-1157.4000000000001</v>
          </cell>
          <cell r="Y262">
            <v>-1164.8599999999999</v>
          </cell>
          <cell r="AB262">
            <v>0</v>
          </cell>
          <cell r="AE262">
            <v>0</v>
          </cell>
          <cell r="AH262">
            <v>0</v>
          </cell>
        </row>
        <row r="263">
          <cell r="J263">
            <v>0</v>
          </cell>
          <cell r="M263">
            <v>-18.22</v>
          </cell>
          <cell r="P263">
            <v>0</v>
          </cell>
          <cell r="S263">
            <v>0</v>
          </cell>
          <cell r="V263">
            <v>0.03</v>
          </cell>
          <cell r="Y263">
            <v>-0.06</v>
          </cell>
          <cell r="AB263">
            <v>0</v>
          </cell>
          <cell r="AE263">
            <v>0</v>
          </cell>
          <cell r="AH263">
            <v>0</v>
          </cell>
        </row>
        <row r="264">
          <cell r="J264">
            <v>-564.37</v>
          </cell>
          <cell r="M264">
            <v>-387.63</v>
          </cell>
          <cell r="P264">
            <v>-403.33</v>
          </cell>
          <cell r="S264">
            <v>-413.55</v>
          </cell>
          <cell r="V264">
            <v>-408.5</v>
          </cell>
          <cell r="Y264">
            <v>-11.129999999999995</v>
          </cell>
          <cell r="AB264">
            <v>-80.87</v>
          </cell>
          <cell r="AE264">
            <v>683.53</v>
          </cell>
          <cell r="AH264">
            <v>369.61</v>
          </cell>
        </row>
        <row r="265">
          <cell r="J265">
            <v>-434.7</v>
          </cell>
          <cell r="M265">
            <v>-387.99</v>
          </cell>
          <cell r="P265">
            <v>590.04</v>
          </cell>
          <cell r="S265">
            <v>-732.61</v>
          </cell>
          <cell r="V265">
            <v>-1445.11</v>
          </cell>
          <cell r="Y265">
            <v>-1454.57</v>
          </cell>
          <cell r="AB265">
            <v>0</v>
          </cell>
          <cell r="AE265">
            <v>595.84</v>
          </cell>
          <cell r="AH265">
            <v>0</v>
          </cell>
        </row>
        <row r="266">
          <cell r="J266">
            <v>0</v>
          </cell>
          <cell r="M266">
            <v>0</v>
          </cell>
          <cell r="P266">
            <v>26.14</v>
          </cell>
          <cell r="S266">
            <v>0</v>
          </cell>
          <cell r="V266">
            <v>0</v>
          </cell>
          <cell r="Y266">
            <v>33.090000000000003</v>
          </cell>
          <cell r="AB266">
            <v>0</v>
          </cell>
          <cell r="AE266">
            <v>0</v>
          </cell>
          <cell r="AH266">
            <v>0</v>
          </cell>
        </row>
        <row r="267">
          <cell r="J267">
            <v>0</v>
          </cell>
          <cell r="M267">
            <v>0</v>
          </cell>
          <cell r="P267">
            <v>33.61</v>
          </cell>
          <cell r="S267">
            <v>0</v>
          </cell>
          <cell r="V267">
            <v>18.91</v>
          </cell>
          <cell r="Y267">
            <v>26.65</v>
          </cell>
          <cell r="AB267">
            <v>0</v>
          </cell>
          <cell r="AE267">
            <v>0</v>
          </cell>
          <cell r="AH267">
            <v>0</v>
          </cell>
        </row>
        <row r="268">
          <cell r="J268">
            <v>0</v>
          </cell>
          <cell r="M268">
            <v>0</v>
          </cell>
          <cell r="P268">
            <v>26.14</v>
          </cell>
          <cell r="S268">
            <v>0</v>
          </cell>
          <cell r="V268">
            <v>0</v>
          </cell>
          <cell r="Y268">
            <v>0</v>
          </cell>
          <cell r="AB268">
            <v>0</v>
          </cell>
          <cell r="AE268">
            <v>0</v>
          </cell>
          <cell r="AH268">
            <v>0</v>
          </cell>
        </row>
        <row r="269">
          <cell r="J269">
            <v>0</v>
          </cell>
          <cell r="M269">
            <v>0</v>
          </cell>
          <cell r="P269">
            <v>42.23</v>
          </cell>
          <cell r="S269">
            <v>0</v>
          </cell>
          <cell r="V269">
            <v>0</v>
          </cell>
          <cell r="Y269">
            <v>26.65</v>
          </cell>
          <cell r="AB269">
            <v>0</v>
          </cell>
          <cell r="AE269">
            <v>0</v>
          </cell>
          <cell r="AH269">
            <v>0</v>
          </cell>
        </row>
        <row r="270">
          <cell r="J270">
            <v>0</v>
          </cell>
          <cell r="M270">
            <v>0</v>
          </cell>
          <cell r="P270">
            <v>0</v>
          </cell>
          <cell r="S270">
            <v>0</v>
          </cell>
          <cell r="V270">
            <v>18.91</v>
          </cell>
          <cell r="Y270">
            <v>64.709999999999994</v>
          </cell>
          <cell r="AB270">
            <v>0</v>
          </cell>
          <cell r="AE270">
            <v>0</v>
          </cell>
          <cell r="AH270">
            <v>0</v>
          </cell>
        </row>
        <row r="271">
          <cell r="J271">
            <v>0</v>
          </cell>
          <cell r="M271">
            <v>0</v>
          </cell>
          <cell r="P271">
            <v>0</v>
          </cell>
          <cell r="S271">
            <v>0</v>
          </cell>
          <cell r="V271">
            <v>0</v>
          </cell>
          <cell r="Y271">
            <v>0.12</v>
          </cell>
          <cell r="AB271">
            <v>0</v>
          </cell>
          <cell r="AE271">
            <v>0</v>
          </cell>
          <cell r="AH271">
            <v>-23.71</v>
          </cell>
        </row>
        <row r="272">
          <cell r="J272">
            <v>0</v>
          </cell>
          <cell r="M272">
            <v>0</v>
          </cell>
          <cell r="P272">
            <v>0</v>
          </cell>
          <cell r="S272">
            <v>0</v>
          </cell>
          <cell r="V272">
            <v>0</v>
          </cell>
          <cell r="Y272">
            <v>0</v>
          </cell>
          <cell r="AB272">
            <v>0</v>
          </cell>
          <cell r="AE272">
            <v>-30455</v>
          </cell>
          <cell r="AH272">
            <v>-30356.95</v>
          </cell>
        </row>
        <row r="273">
          <cell r="J273">
            <v>0</v>
          </cell>
          <cell r="M273">
            <v>0</v>
          </cell>
          <cell r="P273">
            <v>0</v>
          </cell>
          <cell r="S273">
            <v>0</v>
          </cell>
          <cell r="V273">
            <v>0</v>
          </cell>
          <cell r="Y273">
            <v>0</v>
          </cell>
          <cell r="AB273">
            <v>0</v>
          </cell>
          <cell r="AE273">
            <v>12159</v>
          </cell>
          <cell r="AH273">
            <v>12119.61</v>
          </cell>
        </row>
        <row r="274">
          <cell r="J274">
            <v>479.51</v>
          </cell>
          <cell r="M274">
            <v>-1815.82</v>
          </cell>
          <cell r="P274">
            <v>4495.33</v>
          </cell>
          <cell r="S274">
            <v>4302.32</v>
          </cell>
          <cell r="V274">
            <v>1479.6799999999998</v>
          </cell>
          <cell r="Y274">
            <v>4837.24</v>
          </cell>
          <cell r="AB274">
            <v>0</v>
          </cell>
          <cell r="AE274">
            <v>0</v>
          </cell>
          <cell r="AH274">
            <v>0</v>
          </cell>
        </row>
        <row r="275">
          <cell r="J275">
            <v>0</v>
          </cell>
          <cell r="M275">
            <v>0</v>
          </cell>
          <cell r="P275">
            <v>-83.31</v>
          </cell>
          <cell r="S275">
            <v>0</v>
          </cell>
          <cell r="V275">
            <v>0.04</v>
          </cell>
          <cell r="Y275">
            <v>-0.02</v>
          </cell>
          <cell r="AB275">
            <v>0</v>
          </cell>
          <cell r="AE275">
            <v>0</v>
          </cell>
          <cell r="AH275">
            <v>0</v>
          </cell>
        </row>
        <row r="276">
          <cell r="J276">
            <v>0</v>
          </cell>
          <cell r="M276">
            <v>0</v>
          </cell>
          <cell r="P276">
            <v>0</v>
          </cell>
          <cell r="S276">
            <v>0</v>
          </cell>
          <cell r="V276">
            <v>0</v>
          </cell>
          <cell r="Y276">
            <v>0</v>
          </cell>
          <cell r="AB276">
            <v>0</v>
          </cell>
          <cell r="AE276">
            <v>-7991</v>
          </cell>
          <cell r="AH276">
            <v>-7640.09</v>
          </cell>
        </row>
        <row r="277">
          <cell r="J277">
            <v>-62168.47</v>
          </cell>
          <cell r="M277">
            <v>-72290.87</v>
          </cell>
          <cell r="P277">
            <v>-82442.2</v>
          </cell>
          <cell r="S277">
            <v>-97179.69</v>
          </cell>
          <cell r="V277">
            <v>-112424.73</v>
          </cell>
          <cell r="Y277">
            <v>-118821.39</v>
          </cell>
          <cell r="AB277">
            <v>-116496.73</v>
          </cell>
          <cell r="AE277">
            <v>-104423.5</v>
          </cell>
          <cell r="AH277">
            <v>-103707.92</v>
          </cell>
        </row>
        <row r="278">
          <cell r="J278">
            <v>-43860.767909589202</v>
          </cell>
          <cell r="M278">
            <v>-67052.773754831593</v>
          </cell>
          <cell r="P278">
            <v>-82062.448859523123</v>
          </cell>
          <cell r="S278">
            <v>-75111.175066273936</v>
          </cell>
          <cell r="V278">
            <v>-71044.7451417134</v>
          </cell>
          <cell r="Y278">
            <v>-90753.82607613469</v>
          </cell>
          <cell r="AB278">
            <v>-200606.26900874634</v>
          </cell>
          <cell r="AE278">
            <v>-340494.61997751542</v>
          </cell>
          <cell r="AH278">
            <v>-344495.02552931092</v>
          </cell>
        </row>
        <row r="279">
          <cell r="J279">
            <v>0.37</v>
          </cell>
          <cell r="M279">
            <v>0.37</v>
          </cell>
          <cell r="P279">
            <v>0.37</v>
          </cell>
          <cell r="S279">
            <v>0.37</v>
          </cell>
          <cell r="V279">
            <v>0.37</v>
          </cell>
          <cell r="Y279">
            <v>0.37</v>
          </cell>
          <cell r="AB279">
            <v>0.37</v>
          </cell>
          <cell r="AE279">
            <v>0.37</v>
          </cell>
          <cell r="AH279">
            <v>0.37</v>
          </cell>
        </row>
        <row r="280">
          <cell r="J280">
            <v>0</v>
          </cell>
          <cell r="M280">
            <v>0</v>
          </cell>
          <cell r="P280">
            <v>0</v>
          </cell>
          <cell r="S280">
            <v>0</v>
          </cell>
          <cell r="V280">
            <v>0</v>
          </cell>
          <cell r="Y280">
            <v>0</v>
          </cell>
          <cell r="AB280">
            <v>0</v>
          </cell>
          <cell r="AE280">
            <v>0</v>
          </cell>
          <cell r="AH280">
            <v>0</v>
          </cell>
        </row>
        <row r="281">
          <cell r="J281">
            <v>-30</v>
          </cell>
          <cell r="M281">
            <v>-30</v>
          </cell>
          <cell r="P281">
            <v>-30</v>
          </cell>
          <cell r="S281">
            <v>-30</v>
          </cell>
          <cell r="V281">
            <v>-30</v>
          </cell>
          <cell r="Y281">
            <v>-30</v>
          </cell>
          <cell r="AB281">
            <v>-30</v>
          </cell>
          <cell r="AE281">
            <v>-30</v>
          </cell>
          <cell r="AH281">
            <v>-30</v>
          </cell>
        </row>
        <row r="282">
          <cell r="J282">
            <v>114080</v>
          </cell>
          <cell r="M282">
            <v>114080</v>
          </cell>
          <cell r="P282">
            <v>114080</v>
          </cell>
          <cell r="S282">
            <v>114080</v>
          </cell>
          <cell r="V282">
            <v>114080</v>
          </cell>
          <cell r="Y282">
            <v>114080</v>
          </cell>
          <cell r="AB282">
            <v>114080</v>
          </cell>
          <cell r="AE282">
            <v>114080</v>
          </cell>
          <cell r="AH282">
            <v>114080</v>
          </cell>
        </row>
        <row r="283">
          <cell r="J283">
            <v>0</v>
          </cell>
          <cell r="M283">
            <v>0</v>
          </cell>
          <cell r="P283">
            <v>0</v>
          </cell>
          <cell r="S283">
            <v>0</v>
          </cell>
          <cell r="V283">
            <v>0</v>
          </cell>
          <cell r="Y283">
            <v>0</v>
          </cell>
          <cell r="AB283">
            <v>0</v>
          </cell>
          <cell r="AE283">
            <v>-114080</v>
          </cell>
          <cell r="AH283">
            <v>-114079.81</v>
          </cell>
        </row>
        <row r="284">
          <cell r="J284">
            <v>-19396</v>
          </cell>
          <cell r="M284">
            <v>-27796</v>
          </cell>
          <cell r="P284">
            <v>-27796</v>
          </cell>
          <cell r="S284">
            <v>-27796</v>
          </cell>
          <cell r="V284">
            <v>-27796</v>
          </cell>
          <cell r="Y284">
            <v>-27796</v>
          </cell>
          <cell r="AB284">
            <v>-47796</v>
          </cell>
          <cell r="AE284">
            <v>-47796</v>
          </cell>
          <cell r="AH284">
            <v>-47796</v>
          </cell>
        </row>
        <row r="285">
          <cell r="J285">
            <v>-125000</v>
          </cell>
          <cell r="M285">
            <v>-150000</v>
          </cell>
          <cell r="P285">
            <v>-150000</v>
          </cell>
          <cell r="S285">
            <v>-150000</v>
          </cell>
          <cell r="V285">
            <v>-150000</v>
          </cell>
          <cell r="Y285">
            <v>-150000</v>
          </cell>
          <cell r="AB285">
            <v>-130000</v>
          </cell>
          <cell r="AE285">
            <v>-130000</v>
          </cell>
          <cell r="AH285">
            <v>-130000</v>
          </cell>
        </row>
        <row r="286">
          <cell r="J286">
            <v>-5655.46</v>
          </cell>
          <cell r="M286">
            <v>-9900.6</v>
          </cell>
          <cell r="P286">
            <v>-9900.6</v>
          </cell>
          <cell r="S286">
            <v>-9900.6</v>
          </cell>
          <cell r="V286">
            <v>-9900.6</v>
          </cell>
          <cell r="Y286">
            <v>-9900.6</v>
          </cell>
          <cell r="AB286">
            <v>-14143.240000000002</v>
          </cell>
          <cell r="AE286">
            <v>-14143.240000000002</v>
          </cell>
          <cell r="AH286">
            <v>-14143.24</v>
          </cell>
        </row>
        <row r="287">
          <cell r="J287">
            <v>-9544.89</v>
          </cell>
          <cell r="M287">
            <v>-9544.89</v>
          </cell>
          <cell r="P287">
            <v>-9544.89</v>
          </cell>
          <cell r="S287">
            <v>-9544.89</v>
          </cell>
          <cell r="V287">
            <v>-9544.89</v>
          </cell>
          <cell r="Y287">
            <v>-9544.89</v>
          </cell>
          <cell r="AB287">
            <v>-9544.89</v>
          </cell>
          <cell r="AE287">
            <v>-9544.89</v>
          </cell>
          <cell r="AH287">
            <v>-9544.89</v>
          </cell>
        </row>
        <row r="288">
          <cell r="J288">
            <v>-11.48</v>
          </cell>
          <cell r="M288">
            <v>-11.48</v>
          </cell>
          <cell r="P288">
            <v>-11.48</v>
          </cell>
          <cell r="S288">
            <v>-11.48</v>
          </cell>
          <cell r="V288">
            <v>-11.48</v>
          </cell>
          <cell r="Y288">
            <v>-11.48</v>
          </cell>
          <cell r="AB288">
            <v>-11.48</v>
          </cell>
          <cell r="AE288">
            <v>-11.48</v>
          </cell>
          <cell r="AH288">
            <v>-11.48</v>
          </cell>
        </row>
        <row r="289">
          <cell r="J289">
            <v>-699995</v>
          </cell>
          <cell r="M289">
            <v>-999995</v>
          </cell>
          <cell r="P289">
            <v>-999995</v>
          </cell>
          <cell r="S289">
            <v>-999995</v>
          </cell>
          <cell r="V289">
            <v>-999995</v>
          </cell>
          <cell r="Y289">
            <v>-1599995</v>
          </cell>
          <cell r="AB289">
            <v>-1599995</v>
          </cell>
          <cell r="AE289">
            <v>-1599995</v>
          </cell>
          <cell r="AH289">
            <v>-1599995</v>
          </cell>
        </row>
        <row r="290">
          <cell r="J290">
            <v>-86797.42</v>
          </cell>
          <cell r="M290">
            <v>-86797.42</v>
          </cell>
          <cell r="P290">
            <v>-86797.42</v>
          </cell>
          <cell r="S290">
            <v>-86797.42</v>
          </cell>
          <cell r="V290">
            <v>-86797.42</v>
          </cell>
          <cell r="Y290">
            <v>-86797.42</v>
          </cell>
          <cell r="AB290">
            <v>-86797.42</v>
          </cell>
          <cell r="AE290">
            <v>-86797.42</v>
          </cell>
          <cell r="AH290">
            <v>-86797.42</v>
          </cell>
        </row>
        <row r="291">
          <cell r="J291">
            <v>-81876.23</v>
          </cell>
          <cell r="M291">
            <v>-116976.29</v>
          </cell>
          <cell r="P291">
            <v>-116976.29</v>
          </cell>
          <cell r="S291">
            <v>-116976.29</v>
          </cell>
          <cell r="V291">
            <v>-116976.29</v>
          </cell>
          <cell r="Y291">
            <v>-116976.29</v>
          </cell>
          <cell r="AB291">
            <v>-116976.29</v>
          </cell>
          <cell r="AE291">
            <v>-116976.29</v>
          </cell>
          <cell r="AH291">
            <v>-116976.29</v>
          </cell>
        </row>
        <row r="292">
          <cell r="J292">
            <v>-65248.7</v>
          </cell>
          <cell r="M292">
            <v>-130348.7</v>
          </cell>
          <cell r="P292">
            <v>-130348.7</v>
          </cell>
          <cell r="S292">
            <v>-130348.7</v>
          </cell>
          <cell r="V292">
            <v>-130348.7</v>
          </cell>
          <cell r="Y292">
            <v>-130348.7</v>
          </cell>
          <cell r="AB292">
            <v>-130348.7</v>
          </cell>
          <cell r="AE292">
            <v>-130348.7</v>
          </cell>
          <cell r="AH292">
            <v>-130348.7</v>
          </cell>
        </row>
        <row r="293">
          <cell r="J293">
            <v>-15000</v>
          </cell>
          <cell r="M293">
            <v>-30000</v>
          </cell>
          <cell r="P293">
            <v>-30000</v>
          </cell>
          <cell r="S293">
            <v>-30000</v>
          </cell>
          <cell r="V293">
            <v>-30000</v>
          </cell>
          <cell r="Y293">
            <v>-30000</v>
          </cell>
          <cell r="AB293">
            <v>-100000</v>
          </cell>
          <cell r="AE293">
            <v>-100000</v>
          </cell>
          <cell r="AH293">
            <v>-100000</v>
          </cell>
        </row>
        <row r="294">
          <cell r="J294">
            <v>0</v>
          </cell>
          <cell r="M294">
            <v>0</v>
          </cell>
          <cell r="P294">
            <v>0</v>
          </cell>
          <cell r="S294">
            <v>0</v>
          </cell>
          <cell r="V294">
            <v>0</v>
          </cell>
          <cell r="Y294">
            <v>0</v>
          </cell>
          <cell r="AB294">
            <v>-7995.01</v>
          </cell>
          <cell r="AE294">
            <v>-7995.01</v>
          </cell>
          <cell r="AH294">
            <v>-7995.01</v>
          </cell>
        </row>
        <row r="295">
          <cell r="J295">
            <v>-1302117</v>
          </cell>
          <cell r="M295">
            <v>-1302117</v>
          </cell>
          <cell r="P295">
            <v>-1302117</v>
          </cell>
          <cell r="S295">
            <v>-1302117</v>
          </cell>
          <cell r="V295">
            <v>-1302117</v>
          </cell>
          <cell r="Y295">
            <v>-1302117</v>
          </cell>
          <cell r="AB295">
            <v>-1302117</v>
          </cell>
          <cell r="AE295">
            <v>-1302117</v>
          </cell>
          <cell r="AH295">
            <v>-1302117</v>
          </cell>
        </row>
        <row r="296">
          <cell r="J296">
            <v>-2552322.5</v>
          </cell>
          <cell r="M296">
            <v>-2552322.5</v>
          </cell>
          <cell r="P296">
            <v>-2552322.5</v>
          </cell>
          <cell r="S296">
            <v>-2552322.5</v>
          </cell>
          <cell r="V296">
            <v>-2552322.5</v>
          </cell>
          <cell r="Y296">
            <v>-2552322.5</v>
          </cell>
          <cell r="AB296">
            <v>-2602302.5</v>
          </cell>
          <cell r="AE296">
            <v>-2602302.5</v>
          </cell>
          <cell r="AH296">
            <v>-2602302.5</v>
          </cell>
        </row>
        <row r="297">
          <cell r="J297">
            <v>0</v>
          </cell>
          <cell r="M297">
            <v>0</v>
          </cell>
          <cell r="P297">
            <v>0</v>
          </cell>
          <cell r="S297">
            <v>0</v>
          </cell>
          <cell r="V297">
            <v>0</v>
          </cell>
          <cell r="Y297">
            <v>0</v>
          </cell>
          <cell r="AB297">
            <v>0</v>
          </cell>
          <cell r="AE297">
            <v>3545754</v>
          </cell>
          <cell r="AH297">
            <v>3545754</v>
          </cell>
        </row>
        <row r="298">
          <cell r="J298">
            <v>0</v>
          </cell>
          <cell r="M298">
            <v>0</v>
          </cell>
          <cell r="P298">
            <v>0</v>
          </cell>
          <cell r="S298">
            <v>0</v>
          </cell>
          <cell r="V298">
            <v>0</v>
          </cell>
          <cell r="Y298">
            <v>0</v>
          </cell>
          <cell r="AB298">
            <v>0</v>
          </cell>
          <cell r="AE298">
            <v>-66697</v>
          </cell>
          <cell r="AH298">
            <v>-66697</v>
          </cell>
        </row>
        <row r="299">
          <cell r="J299">
            <v>4758702.8600000003</v>
          </cell>
          <cell r="M299">
            <v>4758702.75</v>
          </cell>
          <cell r="P299">
            <v>4761298.0999999996</v>
          </cell>
          <cell r="S299">
            <v>4761298.0999999996</v>
          </cell>
          <cell r="V299">
            <v>4761298.0999999996</v>
          </cell>
          <cell r="Y299">
            <v>4761298.0999999996</v>
          </cell>
          <cell r="AB299">
            <v>4761298.0999999996</v>
          </cell>
          <cell r="AE299">
            <v>4804479.37</v>
          </cell>
          <cell r="AH299">
            <v>4804479.37</v>
          </cell>
        </row>
        <row r="300">
          <cell r="J300">
            <v>-8319.7900000000009</v>
          </cell>
          <cell r="M300">
            <v>-8319.7900000000009</v>
          </cell>
          <cell r="P300">
            <v>-8319.7900000000009</v>
          </cell>
          <cell r="S300">
            <v>-8319.7900000000009</v>
          </cell>
          <cell r="V300">
            <v>-8319.7900000000009</v>
          </cell>
          <cell r="Y300">
            <v>-8319.7900000000009</v>
          </cell>
          <cell r="AB300">
            <v>-8319.7900000000009</v>
          </cell>
          <cell r="AE300">
            <v>-8319.7900000000009</v>
          </cell>
          <cell r="AH300">
            <v>-8319.7900000000009</v>
          </cell>
        </row>
        <row r="301">
          <cell r="J301">
            <v>9279.8027613412232</v>
          </cell>
          <cell r="M301">
            <v>0</v>
          </cell>
          <cell r="P301">
            <v>0</v>
          </cell>
          <cell r="S301">
            <v>0</v>
          </cell>
          <cell r="V301">
            <v>0</v>
          </cell>
          <cell r="Y301">
            <v>0</v>
          </cell>
          <cell r="AB301">
            <v>0</v>
          </cell>
          <cell r="AE301">
            <v>0</v>
          </cell>
          <cell r="AH301">
            <v>0</v>
          </cell>
        </row>
        <row r="302">
          <cell r="J302">
            <v>-46487.380000000005</v>
          </cell>
          <cell r="M302">
            <v>-37207.279999999999</v>
          </cell>
          <cell r="P302">
            <v>-39949.460000000006</v>
          </cell>
          <cell r="S302">
            <v>-39949.460000000006</v>
          </cell>
          <cell r="V302">
            <v>-39949.460000000006</v>
          </cell>
          <cell r="Y302">
            <v>-39949.460000000006</v>
          </cell>
          <cell r="AB302">
            <v>-39949.460000000006</v>
          </cell>
          <cell r="AE302">
            <v>-146.72999999999999</v>
          </cell>
          <cell r="AH302">
            <v>-146.72999999999999</v>
          </cell>
        </row>
        <row r="303">
          <cell r="J303">
            <v>-432634.29000000004</v>
          </cell>
          <cell r="M303">
            <v>-493236.45</v>
          </cell>
          <cell r="P303">
            <v>-567648.29</v>
          </cell>
          <cell r="S303">
            <v>-571940.77</v>
          </cell>
          <cell r="V303">
            <v>-850403.59</v>
          </cell>
          <cell r="Y303">
            <v>-1067984.29</v>
          </cell>
          <cell r="AB303">
            <v>-1068055.5900000001</v>
          </cell>
          <cell r="AE303">
            <v>-4521342.21</v>
          </cell>
          <cell r="AH303">
            <v>-6028012.21</v>
          </cell>
        </row>
        <row r="304">
          <cell r="J304">
            <v>0</v>
          </cell>
          <cell r="M304">
            <v>0</v>
          </cell>
          <cell r="P304">
            <v>0</v>
          </cell>
          <cell r="S304">
            <v>0</v>
          </cell>
          <cell r="V304">
            <v>0</v>
          </cell>
          <cell r="Y304">
            <v>0</v>
          </cell>
          <cell r="AB304">
            <v>0</v>
          </cell>
          <cell r="AE304">
            <v>0</v>
          </cell>
          <cell r="AH304">
            <v>0</v>
          </cell>
        </row>
        <row r="305">
          <cell r="J305">
            <v>0</v>
          </cell>
          <cell r="M305">
            <v>0</v>
          </cell>
          <cell r="P305">
            <v>-100000</v>
          </cell>
          <cell r="S305">
            <v>-100000</v>
          </cell>
          <cell r="V305">
            <v>-100000</v>
          </cell>
          <cell r="Y305">
            <v>-100000</v>
          </cell>
          <cell r="AB305">
            <v>-100000</v>
          </cell>
          <cell r="AE305">
            <v>-100000</v>
          </cell>
          <cell r="AH305">
            <v>-100000</v>
          </cell>
        </row>
        <row r="306">
          <cell r="J306">
            <v>0</v>
          </cell>
          <cell r="M306">
            <v>0</v>
          </cell>
          <cell r="P306">
            <v>0</v>
          </cell>
          <cell r="S306">
            <v>0</v>
          </cell>
          <cell r="V306">
            <v>0</v>
          </cell>
          <cell r="Y306">
            <v>0</v>
          </cell>
          <cell r="AB306">
            <v>0</v>
          </cell>
          <cell r="AE306">
            <v>0</v>
          </cell>
          <cell r="AH306">
            <v>-50000</v>
          </cell>
        </row>
        <row r="307">
          <cell r="J307">
            <v>0</v>
          </cell>
          <cell r="M307">
            <v>0</v>
          </cell>
          <cell r="P307">
            <v>0</v>
          </cell>
          <cell r="S307">
            <v>0</v>
          </cell>
          <cell r="V307">
            <v>0</v>
          </cell>
          <cell r="Y307">
            <v>0</v>
          </cell>
          <cell r="AB307">
            <v>0</v>
          </cell>
          <cell r="AE307">
            <v>0</v>
          </cell>
          <cell r="AH307">
            <v>0</v>
          </cell>
        </row>
        <row r="308">
          <cell r="J308">
            <v>0</v>
          </cell>
          <cell r="M308">
            <v>0</v>
          </cell>
          <cell r="P308">
            <v>1893.98</v>
          </cell>
          <cell r="S308">
            <v>1893.98</v>
          </cell>
          <cell r="V308">
            <v>1893.98</v>
          </cell>
          <cell r="Y308">
            <v>5065.8977891654467</v>
          </cell>
          <cell r="AB308">
            <v>7368.38</v>
          </cell>
          <cell r="AE308">
            <v>12222.230477796515</v>
          </cell>
          <cell r="AH308">
            <v>14111.39</v>
          </cell>
        </row>
        <row r="309">
          <cell r="J309">
            <v>0</v>
          </cell>
          <cell r="M309">
            <v>0</v>
          </cell>
          <cell r="P309">
            <v>0</v>
          </cell>
          <cell r="S309">
            <v>0</v>
          </cell>
          <cell r="V309">
            <v>0</v>
          </cell>
          <cell r="Y309">
            <v>0</v>
          </cell>
          <cell r="AB309">
            <v>0</v>
          </cell>
          <cell r="AE309">
            <v>0</v>
          </cell>
          <cell r="AH309">
            <v>0</v>
          </cell>
        </row>
        <row r="310">
          <cell r="J310">
            <v>0</v>
          </cell>
          <cell r="M310">
            <v>0</v>
          </cell>
          <cell r="P310">
            <v>0</v>
          </cell>
          <cell r="S310">
            <v>0</v>
          </cell>
          <cell r="V310">
            <v>0</v>
          </cell>
          <cell r="Y310">
            <v>0</v>
          </cell>
          <cell r="AB310">
            <v>0</v>
          </cell>
          <cell r="AE310">
            <v>0</v>
          </cell>
          <cell r="AH310">
            <v>0</v>
          </cell>
        </row>
        <row r="311">
          <cell r="J311">
            <v>3627.41</v>
          </cell>
          <cell r="M311">
            <v>7497.81</v>
          </cell>
          <cell r="P311">
            <v>9547.81</v>
          </cell>
          <cell r="S311">
            <v>10491.81</v>
          </cell>
          <cell r="V311">
            <v>12915.51</v>
          </cell>
          <cell r="Y311">
            <v>3575.41</v>
          </cell>
          <cell r="AB311">
            <v>12504.87</v>
          </cell>
          <cell r="AE311">
            <v>24266.52</v>
          </cell>
          <cell r="AH311">
            <v>31276.32</v>
          </cell>
        </row>
        <row r="312">
          <cell r="J312">
            <v>1268.8499999999999</v>
          </cell>
          <cell r="M312">
            <v>2396.44</v>
          </cell>
          <cell r="P312">
            <v>3430.91</v>
          </cell>
          <cell r="S312">
            <v>4183.8</v>
          </cell>
          <cell r="V312">
            <v>4974.1499999999996</v>
          </cell>
          <cell r="Y312">
            <v>5715.53</v>
          </cell>
          <cell r="AB312">
            <v>7371.76</v>
          </cell>
          <cell r="AE312">
            <v>7621.83</v>
          </cell>
          <cell r="AH312">
            <v>7969.6</v>
          </cell>
        </row>
        <row r="313">
          <cell r="J313">
            <v>2119.9699999999998</v>
          </cell>
          <cell r="M313">
            <v>4207.91</v>
          </cell>
          <cell r="P313">
            <v>5625.34</v>
          </cell>
          <cell r="S313">
            <v>7789.26</v>
          </cell>
          <cell r="V313">
            <v>10676.39</v>
          </cell>
          <cell r="Y313">
            <v>12992.71</v>
          </cell>
          <cell r="AB313">
            <v>14467.68</v>
          </cell>
          <cell r="AE313">
            <v>17872.95</v>
          </cell>
          <cell r="AH313">
            <v>20185.82</v>
          </cell>
        </row>
        <row r="314">
          <cell r="J314">
            <v>0</v>
          </cell>
          <cell r="M314">
            <v>13043.47</v>
          </cell>
          <cell r="P314">
            <v>13043.47</v>
          </cell>
          <cell r="S314">
            <v>13043.47</v>
          </cell>
          <cell r="V314">
            <v>13043.47</v>
          </cell>
          <cell r="Y314">
            <v>18201.150000000001</v>
          </cell>
          <cell r="AB314">
            <v>18201.150000000001</v>
          </cell>
          <cell r="AE314">
            <v>18201.150000000001</v>
          </cell>
          <cell r="AH314">
            <v>18201.150000000001</v>
          </cell>
        </row>
        <row r="315">
          <cell r="J315">
            <v>4621.9694878706196</v>
          </cell>
          <cell r="M315">
            <v>12183.38</v>
          </cell>
          <cell r="P315">
            <v>21611.91</v>
          </cell>
          <cell r="S315">
            <v>39316.410000000003</v>
          </cell>
          <cell r="V315">
            <v>66591.45</v>
          </cell>
          <cell r="Y315">
            <v>82585.850000000006</v>
          </cell>
          <cell r="AB315">
            <v>102519.99</v>
          </cell>
          <cell r="AE315">
            <v>126944.50903878584</v>
          </cell>
          <cell r="AH315">
            <v>160667.62229488706</v>
          </cell>
        </row>
        <row r="316">
          <cell r="J316">
            <v>2539.08</v>
          </cell>
          <cell r="M316">
            <v>8155.59</v>
          </cell>
          <cell r="P316">
            <v>14601.84</v>
          </cell>
          <cell r="S316">
            <v>21906.89</v>
          </cell>
          <cell r="V316">
            <v>31567.75</v>
          </cell>
          <cell r="Y316">
            <v>38139.31</v>
          </cell>
          <cell r="AB316">
            <v>35345.760000000002</v>
          </cell>
          <cell r="AE316">
            <v>30490.15</v>
          </cell>
          <cell r="AH316">
            <v>32198.799999999999</v>
          </cell>
        </row>
        <row r="317">
          <cell r="J317">
            <v>0</v>
          </cell>
          <cell r="M317">
            <v>0</v>
          </cell>
          <cell r="P317">
            <v>0</v>
          </cell>
          <cell r="S317">
            <v>0</v>
          </cell>
          <cell r="V317">
            <v>0</v>
          </cell>
          <cell r="Y317">
            <v>0</v>
          </cell>
          <cell r="AB317">
            <v>147.06</v>
          </cell>
          <cell r="AE317">
            <v>147.06</v>
          </cell>
          <cell r="AH317">
            <v>147.06</v>
          </cell>
        </row>
        <row r="318">
          <cell r="J318">
            <v>0</v>
          </cell>
          <cell r="M318">
            <v>284.01</v>
          </cell>
          <cell r="P318">
            <v>284.01</v>
          </cell>
          <cell r="S318">
            <v>489.99</v>
          </cell>
          <cell r="V318">
            <v>489.99</v>
          </cell>
          <cell r="Y318">
            <v>489.99</v>
          </cell>
          <cell r="AB318">
            <v>489.99</v>
          </cell>
          <cell r="AE318">
            <v>489.99</v>
          </cell>
          <cell r="AH318">
            <v>489.99</v>
          </cell>
        </row>
        <row r="319">
          <cell r="J319">
            <v>0</v>
          </cell>
          <cell r="M319">
            <v>0</v>
          </cell>
          <cell r="P319">
            <v>0</v>
          </cell>
          <cell r="S319">
            <v>0</v>
          </cell>
          <cell r="V319">
            <v>0</v>
          </cell>
          <cell r="Y319">
            <v>11.72</v>
          </cell>
          <cell r="AB319">
            <v>101.1</v>
          </cell>
          <cell r="AE319">
            <v>189.35</v>
          </cell>
          <cell r="AH319">
            <v>189.35</v>
          </cell>
        </row>
        <row r="320">
          <cell r="J320">
            <v>0</v>
          </cell>
          <cell r="M320">
            <v>0</v>
          </cell>
          <cell r="P320">
            <v>0</v>
          </cell>
          <cell r="S320">
            <v>0</v>
          </cell>
          <cell r="V320">
            <v>68.3</v>
          </cell>
          <cell r="Y320">
            <v>1030.8499999999999</v>
          </cell>
          <cell r="AB320">
            <v>1719.83</v>
          </cell>
          <cell r="AE320">
            <v>3289.98</v>
          </cell>
          <cell r="AH320">
            <v>4116.83</v>
          </cell>
        </row>
        <row r="321">
          <cell r="J321">
            <v>0</v>
          </cell>
          <cell r="M321">
            <v>9558.93</v>
          </cell>
          <cell r="P321">
            <v>9558.93</v>
          </cell>
          <cell r="S321">
            <v>9558.93</v>
          </cell>
          <cell r="V321">
            <v>14716.52</v>
          </cell>
          <cell r="Y321">
            <v>14716.52</v>
          </cell>
          <cell r="AB321">
            <v>25951.81</v>
          </cell>
          <cell r="AE321">
            <v>28951.81</v>
          </cell>
          <cell r="AH321">
            <v>33985.536812816194</v>
          </cell>
        </row>
        <row r="322">
          <cell r="J322">
            <v>0</v>
          </cell>
          <cell r="M322">
            <v>0</v>
          </cell>
          <cell r="P322">
            <v>0</v>
          </cell>
          <cell r="S322">
            <v>39.630000000000003</v>
          </cell>
          <cell r="V322">
            <v>39.630000000000003</v>
          </cell>
          <cell r="Y322">
            <v>39.630000000000003</v>
          </cell>
          <cell r="AB322">
            <v>39.630000000000003</v>
          </cell>
          <cell r="AE322">
            <v>39.630000000000003</v>
          </cell>
          <cell r="AH322">
            <v>39.630000000000003</v>
          </cell>
        </row>
        <row r="323">
          <cell r="J323">
            <v>2228.1040700808626</v>
          </cell>
          <cell r="M323">
            <v>4397.13</v>
          </cell>
          <cell r="P323">
            <v>8588.7069261706401</v>
          </cell>
          <cell r="S323">
            <v>9844.5546833578792</v>
          </cell>
          <cell r="V323">
            <v>14265.627617107943</v>
          </cell>
          <cell r="Y323">
            <v>15475.066383601756</v>
          </cell>
          <cell r="AB323">
            <v>17526.399999999998</v>
          </cell>
          <cell r="AE323">
            <v>18711.64</v>
          </cell>
          <cell r="AH323">
            <v>20477.739999999998</v>
          </cell>
        </row>
        <row r="324">
          <cell r="J324">
            <v>0</v>
          </cell>
          <cell r="M324">
            <v>0</v>
          </cell>
          <cell r="P324">
            <v>0</v>
          </cell>
          <cell r="S324">
            <v>0</v>
          </cell>
          <cell r="V324">
            <v>0</v>
          </cell>
          <cell r="Y324">
            <v>0</v>
          </cell>
          <cell r="AB324">
            <v>756.69</v>
          </cell>
          <cell r="AE324">
            <v>756.69</v>
          </cell>
          <cell r="AH324">
            <v>756.69</v>
          </cell>
        </row>
        <row r="325">
          <cell r="J325">
            <v>0</v>
          </cell>
          <cell r="M325">
            <v>0</v>
          </cell>
          <cell r="P325">
            <v>0</v>
          </cell>
          <cell r="S325">
            <v>0</v>
          </cell>
          <cell r="V325">
            <v>0</v>
          </cell>
          <cell r="Y325">
            <v>0</v>
          </cell>
          <cell r="AB325">
            <v>0</v>
          </cell>
          <cell r="AE325">
            <v>0</v>
          </cell>
          <cell r="AH325">
            <v>-532.98</v>
          </cell>
        </row>
        <row r="326">
          <cell r="J326">
            <v>0</v>
          </cell>
          <cell r="M326">
            <v>0</v>
          </cell>
          <cell r="P326">
            <v>0</v>
          </cell>
          <cell r="S326">
            <v>0</v>
          </cell>
          <cell r="V326">
            <v>0</v>
          </cell>
          <cell r="Y326">
            <v>0</v>
          </cell>
          <cell r="AB326">
            <v>218.99</v>
          </cell>
          <cell r="AE326">
            <v>218.99</v>
          </cell>
          <cell r="AH326">
            <v>218.99</v>
          </cell>
        </row>
        <row r="327">
          <cell r="J327">
            <v>268.27</v>
          </cell>
          <cell r="M327">
            <v>466.88</v>
          </cell>
          <cell r="P327">
            <v>670.22</v>
          </cell>
          <cell r="S327">
            <v>774.45</v>
          </cell>
          <cell r="V327">
            <v>1232.99</v>
          </cell>
          <cell r="Y327">
            <v>1232.99</v>
          </cell>
          <cell r="AB327">
            <v>2730.44</v>
          </cell>
          <cell r="AE327">
            <v>2730.44</v>
          </cell>
          <cell r="AH327">
            <v>2730.44</v>
          </cell>
        </row>
        <row r="328">
          <cell r="J328">
            <v>434.7</v>
          </cell>
          <cell r="M328">
            <v>1850.76</v>
          </cell>
          <cell r="P328">
            <v>422.63</v>
          </cell>
          <cell r="S328">
            <v>1368.47</v>
          </cell>
          <cell r="V328">
            <v>2783.1</v>
          </cell>
          <cell r="Y328">
            <v>3331.03</v>
          </cell>
          <cell r="AB328">
            <v>4202.8100000000004</v>
          </cell>
          <cell r="AE328">
            <v>6017.92</v>
          </cell>
          <cell r="AH328">
            <v>7303.98</v>
          </cell>
        </row>
        <row r="329">
          <cell r="J329">
            <v>0</v>
          </cell>
          <cell r="M329">
            <v>0</v>
          </cell>
          <cell r="P329">
            <v>-160.59</v>
          </cell>
          <cell r="S329">
            <v>-216.21</v>
          </cell>
          <cell r="V329">
            <v>-445.41</v>
          </cell>
          <cell r="Y329">
            <v>-882.89</v>
          </cell>
          <cell r="AB329">
            <v>-1322.25</v>
          </cell>
          <cell r="AE329">
            <v>-1037.82</v>
          </cell>
          <cell r="AH329">
            <v>-1033.51</v>
          </cell>
        </row>
        <row r="330">
          <cell r="J330">
            <v>0</v>
          </cell>
          <cell r="M330">
            <v>0</v>
          </cell>
          <cell r="P330">
            <v>0</v>
          </cell>
          <cell r="S330">
            <v>0</v>
          </cell>
          <cell r="V330">
            <v>0</v>
          </cell>
          <cell r="Y330">
            <v>0</v>
          </cell>
          <cell r="AB330">
            <v>0</v>
          </cell>
          <cell r="AE330">
            <v>0</v>
          </cell>
          <cell r="AH330">
            <v>1224.33</v>
          </cell>
        </row>
        <row r="331">
          <cell r="J331">
            <v>28119.95</v>
          </cell>
          <cell r="M331">
            <v>65446.62</v>
          </cell>
          <cell r="P331">
            <v>193566.75</v>
          </cell>
          <cell r="S331">
            <v>221646.03</v>
          </cell>
          <cell r="V331">
            <v>249771.03</v>
          </cell>
          <cell r="Y331">
            <v>305977.53000000003</v>
          </cell>
          <cell r="AB331">
            <v>278149.53000000003</v>
          </cell>
          <cell r="AE331">
            <v>326340.53000000003</v>
          </cell>
          <cell r="AH331">
            <v>369418.69</v>
          </cell>
        </row>
        <row r="332">
          <cell r="J332">
            <v>17813.41</v>
          </cell>
          <cell r="M332">
            <v>37289.599999999999</v>
          </cell>
          <cell r="P332">
            <v>48357.272941683419</v>
          </cell>
          <cell r="S332">
            <v>61653.24</v>
          </cell>
          <cell r="V332">
            <v>57659.19</v>
          </cell>
          <cell r="Y332">
            <v>57659.19</v>
          </cell>
          <cell r="AB332">
            <v>57659.19</v>
          </cell>
          <cell r="AE332">
            <v>57659.19</v>
          </cell>
          <cell r="AH332">
            <v>57518.12</v>
          </cell>
        </row>
        <row r="333">
          <cell r="J333">
            <v>0</v>
          </cell>
          <cell r="M333">
            <v>0</v>
          </cell>
          <cell r="P333">
            <v>0</v>
          </cell>
          <cell r="S333">
            <v>0</v>
          </cell>
          <cell r="V333">
            <v>0</v>
          </cell>
          <cell r="Y333">
            <v>0</v>
          </cell>
          <cell r="AB333">
            <v>0</v>
          </cell>
          <cell r="AE333">
            <v>0</v>
          </cell>
          <cell r="AH333">
            <v>0</v>
          </cell>
        </row>
        <row r="334">
          <cell r="J334">
            <v>0</v>
          </cell>
          <cell r="M334">
            <v>0</v>
          </cell>
          <cell r="P334">
            <v>0</v>
          </cell>
          <cell r="S334">
            <v>0</v>
          </cell>
          <cell r="V334">
            <v>0</v>
          </cell>
          <cell r="Y334">
            <v>0</v>
          </cell>
          <cell r="AB334">
            <v>0</v>
          </cell>
          <cell r="AE334">
            <v>0</v>
          </cell>
          <cell r="AH334">
            <v>0</v>
          </cell>
        </row>
        <row r="335">
          <cell r="J335">
            <v>0</v>
          </cell>
          <cell r="M335">
            <v>0</v>
          </cell>
          <cell r="P335">
            <v>0</v>
          </cell>
          <cell r="S335">
            <v>0</v>
          </cell>
          <cell r="V335">
            <v>0</v>
          </cell>
          <cell r="Y335">
            <v>0</v>
          </cell>
          <cell r="AB335">
            <v>0</v>
          </cell>
          <cell r="AE335">
            <v>0</v>
          </cell>
          <cell r="AH335">
            <v>0</v>
          </cell>
        </row>
        <row r="336">
          <cell r="J336">
            <v>0</v>
          </cell>
          <cell r="M336">
            <v>5592.26</v>
          </cell>
          <cell r="P336">
            <v>5592.26</v>
          </cell>
          <cell r="S336">
            <v>5592.26</v>
          </cell>
          <cell r="V336">
            <v>5592.26</v>
          </cell>
          <cell r="Y336">
            <v>5592.26</v>
          </cell>
          <cell r="AB336">
            <v>5592.26</v>
          </cell>
          <cell r="AE336">
            <v>5592.26</v>
          </cell>
          <cell r="AH336">
            <v>5592.26</v>
          </cell>
        </row>
        <row r="337">
          <cell r="J337">
            <v>0</v>
          </cell>
          <cell r="M337">
            <v>0</v>
          </cell>
          <cell r="P337">
            <v>0</v>
          </cell>
          <cell r="S337">
            <v>0</v>
          </cell>
          <cell r="V337">
            <v>0</v>
          </cell>
          <cell r="Y337">
            <v>0</v>
          </cell>
          <cell r="AB337">
            <v>0</v>
          </cell>
          <cell r="AE337">
            <v>7000</v>
          </cell>
          <cell r="AH337">
            <v>0</v>
          </cell>
        </row>
        <row r="338">
          <cell r="J338">
            <v>0</v>
          </cell>
          <cell r="M338">
            <v>0</v>
          </cell>
          <cell r="P338">
            <v>0</v>
          </cell>
          <cell r="S338">
            <v>0</v>
          </cell>
          <cell r="V338">
            <v>0</v>
          </cell>
          <cell r="Y338">
            <v>0</v>
          </cell>
          <cell r="AB338">
            <v>0</v>
          </cell>
          <cell r="AE338">
            <v>0</v>
          </cell>
          <cell r="AH338">
            <v>0</v>
          </cell>
        </row>
        <row r="339">
          <cell r="J339">
            <v>6153.02</v>
          </cell>
          <cell r="M339">
            <v>16031.21</v>
          </cell>
          <cell r="P339">
            <v>32322.85</v>
          </cell>
          <cell r="S339">
            <v>39791.97</v>
          </cell>
          <cell r="V339">
            <v>47530.03</v>
          </cell>
          <cell r="Y339">
            <v>56844.453938506587</v>
          </cell>
          <cell r="AB339">
            <v>60367.65</v>
          </cell>
          <cell r="AE339">
            <v>73781.399999999994</v>
          </cell>
          <cell r="AH339">
            <v>98278.8</v>
          </cell>
        </row>
        <row r="340">
          <cell r="J340">
            <v>55609.71</v>
          </cell>
          <cell r="M340">
            <v>115619.94</v>
          </cell>
          <cell r="P340">
            <v>185808.11</v>
          </cell>
          <cell r="S340">
            <v>260773.66</v>
          </cell>
          <cell r="V340">
            <v>335678.24</v>
          </cell>
          <cell r="Y340">
            <v>420038.12</v>
          </cell>
          <cell r="AB340">
            <v>534519.48</v>
          </cell>
          <cell r="AE340">
            <v>616187.29814502527</v>
          </cell>
          <cell r="AH340">
            <v>686224.77724137937</v>
          </cell>
        </row>
        <row r="341">
          <cell r="J341">
            <v>2970.62</v>
          </cell>
          <cell r="M341">
            <v>6165.82</v>
          </cell>
          <cell r="P341">
            <v>9800.7000000000007</v>
          </cell>
          <cell r="S341">
            <v>13986.86</v>
          </cell>
          <cell r="V341">
            <v>18179.47</v>
          </cell>
          <cell r="Y341">
            <v>22827.79</v>
          </cell>
          <cell r="AB341">
            <v>29037.41</v>
          </cell>
          <cell r="AE341">
            <v>33483.449999999997</v>
          </cell>
          <cell r="AH341">
            <v>37608.99</v>
          </cell>
        </row>
        <row r="342">
          <cell r="J342">
            <v>6548.78</v>
          </cell>
          <cell r="M342">
            <v>13658.38</v>
          </cell>
          <cell r="P342">
            <v>21263.96</v>
          </cell>
          <cell r="S342">
            <v>35611.53</v>
          </cell>
          <cell r="V342">
            <v>46254.239999999998</v>
          </cell>
          <cell r="Y342">
            <v>56232.57</v>
          </cell>
          <cell r="AB342">
            <v>66271.05</v>
          </cell>
          <cell r="AE342">
            <v>79101.86</v>
          </cell>
          <cell r="AH342">
            <v>87594.05</v>
          </cell>
        </row>
        <row r="343">
          <cell r="J343">
            <v>2539.35</v>
          </cell>
          <cell r="M343">
            <v>5221.57</v>
          </cell>
          <cell r="P343">
            <v>8012.43</v>
          </cell>
          <cell r="S343">
            <v>10873.99</v>
          </cell>
          <cell r="V343">
            <v>13888.25</v>
          </cell>
          <cell r="Y343">
            <v>17788.39</v>
          </cell>
          <cell r="AB343">
            <v>22950.2</v>
          </cell>
          <cell r="AE343">
            <v>27658.18</v>
          </cell>
          <cell r="AH343">
            <v>32294.49</v>
          </cell>
        </row>
        <row r="344">
          <cell r="J344">
            <v>67.39</v>
          </cell>
          <cell r="M344">
            <v>136.41</v>
          </cell>
          <cell r="P344">
            <v>208.23</v>
          </cell>
          <cell r="S344">
            <v>311.32</v>
          </cell>
          <cell r="V344">
            <v>413.15</v>
          </cell>
          <cell r="Y344">
            <v>515.64</v>
          </cell>
          <cell r="AB344">
            <v>617.67999999999995</v>
          </cell>
          <cell r="AE344">
            <v>716.05</v>
          </cell>
          <cell r="AH344">
            <v>810.34</v>
          </cell>
        </row>
        <row r="345">
          <cell r="J345">
            <v>-2812.4</v>
          </cell>
          <cell r="M345">
            <v>-5848.57</v>
          </cell>
          <cell r="P345">
            <v>-8910.91</v>
          </cell>
          <cell r="S345">
            <v>-13558.92</v>
          </cell>
          <cell r="V345">
            <v>-17546.41</v>
          </cell>
          <cell r="Y345">
            <v>-21910.39</v>
          </cell>
          <cell r="AB345">
            <v>-27547.71</v>
          </cell>
          <cell r="AE345">
            <v>-32714.38</v>
          </cell>
          <cell r="AH345">
            <v>-38635.72</v>
          </cell>
        </row>
        <row r="346">
          <cell r="J346">
            <v>2142.59</v>
          </cell>
          <cell r="M346">
            <v>4558.93</v>
          </cell>
          <cell r="P346">
            <v>7090.39</v>
          </cell>
          <cell r="S346">
            <v>11074.48</v>
          </cell>
          <cell r="V346">
            <v>14002.91</v>
          </cell>
          <cell r="Y346">
            <v>17038.05</v>
          </cell>
          <cell r="AB346">
            <v>20114.43</v>
          </cell>
          <cell r="AE346">
            <v>24627.360000000001</v>
          </cell>
          <cell r="AH346">
            <v>27443.9</v>
          </cell>
        </row>
        <row r="347">
          <cell r="J347">
            <v>0</v>
          </cell>
          <cell r="M347">
            <v>0</v>
          </cell>
          <cell r="P347">
            <v>0</v>
          </cell>
          <cell r="S347">
            <v>1476.88</v>
          </cell>
          <cell r="V347">
            <v>1476.88</v>
          </cell>
          <cell r="Y347">
            <v>1476.88</v>
          </cell>
          <cell r="AB347">
            <v>1476.88</v>
          </cell>
          <cell r="AE347">
            <v>1476.88</v>
          </cell>
          <cell r="AH347">
            <v>2322.25</v>
          </cell>
        </row>
        <row r="348">
          <cell r="J348">
            <v>205.66</v>
          </cell>
          <cell r="M348">
            <v>434.26</v>
          </cell>
          <cell r="P348">
            <v>644.54</v>
          </cell>
          <cell r="S348">
            <v>872.52</v>
          </cell>
          <cell r="V348">
            <v>1757.59</v>
          </cell>
          <cell r="Y348">
            <v>2132.41</v>
          </cell>
          <cell r="AB348">
            <v>2506.17</v>
          </cell>
          <cell r="AE348">
            <v>2866.48</v>
          </cell>
          <cell r="AH348">
            <v>3211.85</v>
          </cell>
        </row>
        <row r="349">
          <cell r="J349">
            <v>0</v>
          </cell>
          <cell r="M349">
            <v>0</v>
          </cell>
          <cell r="P349">
            <v>0</v>
          </cell>
          <cell r="S349">
            <v>0</v>
          </cell>
          <cell r="V349">
            <v>0</v>
          </cell>
          <cell r="Y349">
            <v>0</v>
          </cell>
          <cell r="AB349">
            <v>0</v>
          </cell>
          <cell r="AE349">
            <v>0</v>
          </cell>
          <cell r="AH349">
            <v>0</v>
          </cell>
        </row>
        <row r="350">
          <cell r="J350">
            <v>0</v>
          </cell>
          <cell r="M350">
            <v>0</v>
          </cell>
          <cell r="P350">
            <v>0</v>
          </cell>
          <cell r="S350">
            <v>0</v>
          </cell>
          <cell r="V350">
            <v>0</v>
          </cell>
          <cell r="Y350">
            <v>0</v>
          </cell>
          <cell r="AB350">
            <v>0</v>
          </cell>
          <cell r="AE350">
            <v>0</v>
          </cell>
          <cell r="AH350">
            <v>0</v>
          </cell>
        </row>
        <row r="351">
          <cell r="J351">
            <v>0</v>
          </cell>
          <cell r="M351">
            <v>56.32</v>
          </cell>
          <cell r="P351">
            <v>45.69</v>
          </cell>
          <cell r="S351">
            <v>24.19</v>
          </cell>
          <cell r="V351">
            <v>10.52</v>
          </cell>
          <cell r="Y351">
            <v>-2.95</v>
          </cell>
          <cell r="AB351">
            <v>-3.24</v>
          </cell>
          <cell r="AE351">
            <v>-3.24</v>
          </cell>
          <cell r="AH351">
            <v>-3.24</v>
          </cell>
        </row>
        <row r="352">
          <cell r="J352">
            <v>0</v>
          </cell>
          <cell r="M352">
            <v>0</v>
          </cell>
          <cell r="P352">
            <v>0</v>
          </cell>
          <cell r="S352">
            <v>0</v>
          </cell>
          <cell r="V352">
            <v>0</v>
          </cell>
          <cell r="Y352">
            <v>0</v>
          </cell>
          <cell r="AB352">
            <v>0</v>
          </cell>
          <cell r="AE352">
            <v>0</v>
          </cell>
          <cell r="AH352">
            <v>2762.7327586206893</v>
          </cell>
        </row>
        <row r="353">
          <cell r="J353">
            <v>0</v>
          </cell>
          <cell r="M353">
            <v>0</v>
          </cell>
          <cell r="P353">
            <v>0</v>
          </cell>
          <cell r="S353">
            <v>0</v>
          </cell>
          <cell r="V353">
            <v>0</v>
          </cell>
          <cell r="Y353">
            <v>0</v>
          </cell>
          <cell r="AB353">
            <v>0</v>
          </cell>
          <cell r="AE353">
            <v>0</v>
          </cell>
          <cell r="AH353">
            <v>6710</v>
          </cell>
        </row>
        <row r="354">
          <cell r="J354">
            <v>0</v>
          </cell>
          <cell r="M354">
            <v>0</v>
          </cell>
          <cell r="P354">
            <v>0</v>
          </cell>
          <cell r="S354">
            <v>0</v>
          </cell>
          <cell r="V354">
            <v>0</v>
          </cell>
          <cell r="Y354">
            <v>0</v>
          </cell>
          <cell r="AB354">
            <v>0</v>
          </cell>
          <cell r="AE354">
            <v>1000</v>
          </cell>
          <cell r="AH354">
            <v>2000</v>
          </cell>
        </row>
        <row r="355">
          <cell r="J355">
            <v>0</v>
          </cell>
          <cell r="M355">
            <v>0</v>
          </cell>
          <cell r="P355">
            <v>0</v>
          </cell>
          <cell r="S355">
            <v>0</v>
          </cell>
          <cell r="V355">
            <v>0</v>
          </cell>
          <cell r="Y355">
            <v>0</v>
          </cell>
          <cell r="AB355">
            <v>0</v>
          </cell>
          <cell r="AE355">
            <v>0</v>
          </cell>
          <cell r="AH355">
            <v>0</v>
          </cell>
        </row>
        <row r="356">
          <cell r="J356">
            <v>0</v>
          </cell>
          <cell r="M356">
            <v>0</v>
          </cell>
          <cell r="P356">
            <v>0</v>
          </cell>
          <cell r="S356">
            <v>0</v>
          </cell>
          <cell r="V356">
            <v>0</v>
          </cell>
          <cell r="Y356">
            <v>0</v>
          </cell>
          <cell r="AB356">
            <v>0</v>
          </cell>
          <cell r="AE356">
            <v>0</v>
          </cell>
          <cell r="AH356">
            <v>0</v>
          </cell>
        </row>
        <row r="357">
          <cell r="J357">
            <v>0</v>
          </cell>
          <cell r="M357">
            <v>0</v>
          </cell>
          <cell r="P357">
            <v>0</v>
          </cell>
          <cell r="S357">
            <v>0</v>
          </cell>
          <cell r="V357">
            <v>0</v>
          </cell>
          <cell r="Y357">
            <v>0</v>
          </cell>
          <cell r="AB357">
            <v>0</v>
          </cell>
          <cell r="AE357">
            <v>0</v>
          </cell>
          <cell r="AH357">
            <v>0</v>
          </cell>
        </row>
        <row r="358">
          <cell r="J358">
            <v>0</v>
          </cell>
          <cell r="M358">
            <v>1493.23</v>
          </cell>
          <cell r="P358">
            <v>4032.03</v>
          </cell>
          <cell r="S358">
            <v>4032.03</v>
          </cell>
          <cell r="V358">
            <v>4063.31</v>
          </cell>
          <cell r="Y358">
            <v>4921.66</v>
          </cell>
          <cell r="AB358">
            <v>4921.66</v>
          </cell>
          <cell r="AE358">
            <v>5343.25</v>
          </cell>
          <cell r="AH358">
            <v>6070.62</v>
          </cell>
        </row>
        <row r="359">
          <cell r="J359">
            <v>0</v>
          </cell>
          <cell r="M359">
            <v>0</v>
          </cell>
          <cell r="P359">
            <v>0</v>
          </cell>
          <cell r="S359">
            <v>0</v>
          </cell>
          <cell r="V359">
            <v>0</v>
          </cell>
          <cell r="Y359">
            <v>0</v>
          </cell>
          <cell r="AB359">
            <v>1281.1300000000001</v>
          </cell>
          <cell r="AE359">
            <v>2836.67</v>
          </cell>
          <cell r="AH359">
            <v>3889.79</v>
          </cell>
        </row>
        <row r="360">
          <cell r="J360">
            <v>0</v>
          </cell>
          <cell r="M360">
            <v>0</v>
          </cell>
          <cell r="P360">
            <v>0</v>
          </cell>
          <cell r="S360">
            <v>0</v>
          </cell>
          <cell r="V360">
            <v>0</v>
          </cell>
          <cell r="Y360">
            <v>0</v>
          </cell>
          <cell r="AB360">
            <v>709.43</v>
          </cell>
          <cell r="AE360">
            <v>1930.03</v>
          </cell>
          <cell r="AH360">
            <v>3969.69</v>
          </cell>
        </row>
        <row r="361">
          <cell r="J361">
            <v>0</v>
          </cell>
          <cell r="M361">
            <v>0</v>
          </cell>
          <cell r="P361">
            <v>-19318</v>
          </cell>
          <cell r="S361">
            <v>0</v>
          </cell>
          <cell r="V361">
            <v>-13606.2</v>
          </cell>
          <cell r="Y361">
            <v>-22368.7</v>
          </cell>
          <cell r="AB361">
            <v>-56425</v>
          </cell>
          <cell r="AE361">
            <v>-56425</v>
          </cell>
          <cell r="AH361">
            <v>-56425</v>
          </cell>
        </row>
        <row r="362">
          <cell r="J362">
            <v>463</v>
          </cell>
          <cell r="M362">
            <v>463</v>
          </cell>
          <cell r="P362">
            <v>463</v>
          </cell>
          <cell r="S362">
            <v>463</v>
          </cell>
          <cell r="V362">
            <v>463</v>
          </cell>
          <cell r="Y362">
            <v>463</v>
          </cell>
          <cell r="AB362">
            <v>463</v>
          </cell>
          <cell r="AE362">
            <v>463</v>
          </cell>
          <cell r="AH362">
            <v>463</v>
          </cell>
        </row>
        <row r="363">
          <cell r="J363">
            <v>0</v>
          </cell>
          <cell r="M363">
            <v>735</v>
          </cell>
          <cell r="P363">
            <v>735</v>
          </cell>
          <cell r="S363">
            <v>735</v>
          </cell>
          <cell r="V363">
            <v>2920.18</v>
          </cell>
          <cell r="Y363">
            <v>2920.18</v>
          </cell>
          <cell r="AB363">
            <v>10231.18</v>
          </cell>
          <cell r="AE363">
            <v>10573.51</v>
          </cell>
          <cell r="AH363">
            <v>10573.51</v>
          </cell>
        </row>
        <row r="364">
          <cell r="J364">
            <v>0</v>
          </cell>
          <cell r="M364">
            <v>63</v>
          </cell>
          <cell r="P364">
            <v>63</v>
          </cell>
          <cell r="S364">
            <v>63</v>
          </cell>
          <cell r="V364">
            <v>63</v>
          </cell>
          <cell r="Y364">
            <v>369.91</v>
          </cell>
          <cell r="AB364">
            <v>369.91</v>
          </cell>
          <cell r="AE364">
            <v>369.91</v>
          </cell>
          <cell r="AH364">
            <v>369.91</v>
          </cell>
        </row>
        <row r="365">
          <cell r="J365">
            <v>0</v>
          </cell>
          <cell r="M365">
            <v>0</v>
          </cell>
          <cell r="P365">
            <v>0</v>
          </cell>
          <cell r="S365">
            <v>1270.78</v>
          </cell>
          <cell r="V365">
            <v>1270.78</v>
          </cell>
          <cell r="Y365">
            <v>1270.78</v>
          </cell>
          <cell r="AB365">
            <v>1270.78</v>
          </cell>
          <cell r="AE365">
            <v>1270.78</v>
          </cell>
          <cell r="AH365">
            <v>1270.78</v>
          </cell>
        </row>
        <row r="366">
          <cell r="J366">
            <v>1499.57</v>
          </cell>
          <cell r="M366">
            <v>1499.57</v>
          </cell>
          <cell r="P366">
            <v>1499.57</v>
          </cell>
          <cell r="S366">
            <v>1499.57</v>
          </cell>
          <cell r="V366">
            <v>1499.57</v>
          </cell>
          <cell r="Y366">
            <v>1499.57</v>
          </cell>
          <cell r="AB366">
            <v>1499.57</v>
          </cell>
          <cell r="AE366">
            <v>1499.57</v>
          </cell>
          <cell r="AH366">
            <v>1499.57</v>
          </cell>
        </row>
        <row r="367">
          <cell r="J367">
            <v>0</v>
          </cell>
          <cell r="M367">
            <v>704.6</v>
          </cell>
          <cell r="P367">
            <v>704.6</v>
          </cell>
          <cell r="S367">
            <v>704.6</v>
          </cell>
          <cell r="V367">
            <v>704.6</v>
          </cell>
          <cell r="Y367">
            <v>704.6</v>
          </cell>
          <cell r="AB367">
            <v>704.6</v>
          </cell>
          <cell r="AE367">
            <v>704.6</v>
          </cell>
          <cell r="AH367">
            <v>704.6</v>
          </cell>
        </row>
        <row r="368">
          <cell r="J368">
            <v>390</v>
          </cell>
          <cell r="M368">
            <v>390</v>
          </cell>
          <cell r="P368">
            <v>0</v>
          </cell>
          <cell r="S368">
            <v>0</v>
          </cell>
          <cell r="V368">
            <v>0</v>
          </cell>
          <cell r="Y368">
            <v>0</v>
          </cell>
          <cell r="AB368">
            <v>0</v>
          </cell>
          <cell r="AE368">
            <v>0</v>
          </cell>
          <cell r="AH368">
            <v>0</v>
          </cell>
        </row>
        <row r="369">
          <cell r="J369">
            <v>7218.6</v>
          </cell>
          <cell r="M369">
            <v>7218.6</v>
          </cell>
          <cell r="P369">
            <v>7218.6</v>
          </cell>
          <cell r="S369">
            <v>7218.6</v>
          </cell>
          <cell r="V369">
            <v>7218.6</v>
          </cell>
          <cell r="Y369">
            <v>7218.6</v>
          </cell>
          <cell r="AB369">
            <v>8058.6</v>
          </cell>
          <cell r="AE369">
            <v>8058.6</v>
          </cell>
          <cell r="AH369">
            <v>8058.6</v>
          </cell>
        </row>
        <row r="370">
          <cell r="J370">
            <v>2349.09</v>
          </cell>
          <cell r="M370">
            <v>2349.09</v>
          </cell>
          <cell r="P370">
            <v>2349.09</v>
          </cell>
          <cell r="S370">
            <v>2349.09</v>
          </cell>
          <cell r="V370">
            <v>2349.09</v>
          </cell>
          <cell r="Y370">
            <v>2121.09</v>
          </cell>
          <cell r="AB370">
            <v>2121.09</v>
          </cell>
          <cell r="AE370">
            <v>2121.09</v>
          </cell>
          <cell r="AH370">
            <v>2121.09</v>
          </cell>
        </row>
        <row r="371">
          <cell r="J371">
            <v>1615.69</v>
          </cell>
          <cell r="M371">
            <v>1615.69</v>
          </cell>
          <cell r="P371">
            <v>1615.69</v>
          </cell>
          <cell r="S371">
            <v>1615.69</v>
          </cell>
          <cell r="V371">
            <v>1615.69</v>
          </cell>
          <cell r="Y371">
            <v>1615.69</v>
          </cell>
          <cell r="AB371">
            <v>1615.69</v>
          </cell>
          <cell r="AE371">
            <v>1615.69</v>
          </cell>
          <cell r="AH371">
            <v>1615.69</v>
          </cell>
        </row>
        <row r="372">
          <cell r="J372">
            <v>1047.32</v>
          </cell>
          <cell r="M372">
            <v>3451.03</v>
          </cell>
          <cell r="P372">
            <v>3451.03</v>
          </cell>
          <cell r="S372">
            <v>3451.03</v>
          </cell>
          <cell r="V372">
            <v>3451.03</v>
          </cell>
          <cell r="Y372">
            <v>3227.03</v>
          </cell>
          <cell r="AB372">
            <v>3227.03</v>
          </cell>
          <cell r="AE372">
            <v>3227.03</v>
          </cell>
          <cell r="AH372">
            <v>3227.03</v>
          </cell>
        </row>
        <row r="373">
          <cell r="J373">
            <v>2025.94</v>
          </cell>
          <cell r="M373">
            <v>3918.74</v>
          </cell>
          <cell r="P373">
            <v>8582.81</v>
          </cell>
          <cell r="S373">
            <v>9810.23</v>
          </cell>
          <cell r="V373">
            <v>9810.23</v>
          </cell>
          <cell r="Y373">
            <v>9810.23</v>
          </cell>
          <cell r="AB373">
            <v>9810.23</v>
          </cell>
          <cell r="AE373">
            <v>9810.23</v>
          </cell>
          <cell r="AH373">
            <v>9810.23</v>
          </cell>
        </row>
        <row r="374">
          <cell r="J374">
            <v>2015</v>
          </cell>
          <cell r="M374">
            <v>6012.29</v>
          </cell>
          <cell r="P374">
            <v>6012.29</v>
          </cell>
          <cell r="S374">
            <v>7288.29</v>
          </cell>
          <cell r="V374">
            <v>9341.89</v>
          </cell>
          <cell r="Y374">
            <v>9341.89</v>
          </cell>
          <cell r="AB374">
            <v>9341.89</v>
          </cell>
          <cell r="AE374">
            <v>9341.89</v>
          </cell>
          <cell r="AH374">
            <v>9341.89</v>
          </cell>
        </row>
        <row r="375">
          <cell r="J375">
            <v>0</v>
          </cell>
          <cell r="M375">
            <v>144.56</v>
          </cell>
          <cell r="P375">
            <v>144.56</v>
          </cell>
          <cell r="S375">
            <v>144.56</v>
          </cell>
          <cell r="V375">
            <v>3738.87</v>
          </cell>
          <cell r="Y375">
            <v>4560.87</v>
          </cell>
          <cell r="AB375">
            <v>3389.15</v>
          </cell>
          <cell r="AE375">
            <v>3389.15</v>
          </cell>
          <cell r="AH375">
            <v>3389.15</v>
          </cell>
        </row>
        <row r="376">
          <cell r="J376">
            <v>0</v>
          </cell>
          <cell r="M376">
            <v>174</v>
          </cell>
          <cell r="P376">
            <v>174</v>
          </cell>
          <cell r="S376">
            <v>174</v>
          </cell>
          <cell r="V376">
            <v>174</v>
          </cell>
          <cell r="Y376">
            <v>174</v>
          </cell>
          <cell r="AB376">
            <v>174</v>
          </cell>
          <cell r="AE376">
            <v>174</v>
          </cell>
          <cell r="AH376">
            <v>174</v>
          </cell>
        </row>
        <row r="377">
          <cell r="J377">
            <v>0</v>
          </cell>
          <cell r="M377">
            <v>4392.7</v>
          </cell>
          <cell r="P377">
            <v>4392.7</v>
          </cell>
          <cell r="S377">
            <v>4483.7</v>
          </cell>
          <cell r="V377">
            <v>4483.7</v>
          </cell>
          <cell r="Y377">
            <v>4483.7</v>
          </cell>
          <cell r="AB377">
            <v>4483.7</v>
          </cell>
          <cell r="AE377">
            <v>4483.7</v>
          </cell>
          <cell r="AH377">
            <v>4483.7</v>
          </cell>
        </row>
        <row r="378">
          <cell r="J378">
            <v>0</v>
          </cell>
          <cell r="M378">
            <v>1458.92</v>
          </cell>
          <cell r="P378">
            <v>1458.92</v>
          </cell>
          <cell r="S378">
            <v>6635.37</v>
          </cell>
          <cell r="V378">
            <v>6635.37</v>
          </cell>
          <cell r="Y378">
            <v>6635.37</v>
          </cell>
          <cell r="AB378">
            <v>6635.37</v>
          </cell>
          <cell r="AE378">
            <v>6635.37</v>
          </cell>
          <cell r="AH378">
            <v>6635.37</v>
          </cell>
        </row>
        <row r="379">
          <cell r="J379">
            <v>0</v>
          </cell>
          <cell r="M379">
            <v>8522.67</v>
          </cell>
          <cell r="P379">
            <v>8522.67</v>
          </cell>
          <cell r="S379">
            <v>8522.67</v>
          </cell>
          <cell r="V379">
            <v>8522.67</v>
          </cell>
          <cell r="Y379">
            <v>8522.67</v>
          </cell>
          <cell r="AB379">
            <v>8522.67</v>
          </cell>
          <cell r="AE379">
            <v>8522.67</v>
          </cell>
          <cell r="AH379">
            <v>8522.67</v>
          </cell>
        </row>
        <row r="380">
          <cell r="J380">
            <v>0</v>
          </cell>
          <cell r="M380">
            <v>32477.16</v>
          </cell>
          <cell r="P380">
            <v>9770.68</v>
          </cell>
          <cell r="S380">
            <v>17247.82</v>
          </cell>
          <cell r="V380">
            <v>21458.560000000001</v>
          </cell>
          <cell r="Y380">
            <v>21458.560000000001</v>
          </cell>
          <cell r="AB380">
            <v>21458.560000000001</v>
          </cell>
          <cell r="AE380">
            <v>25478.45</v>
          </cell>
          <cell r="AH380">
            <v>25478.45</v>
          </cell>
        </row>
        <row r="381">
          <cell r="J381">
            <v>0</v>
          </cell>
          <cell r="M381">
            <v>0</v>
          </cell>
          <cell r="P381">
            <v>551.24</v>
          </cell>
          <cell r="S381">
            <v>551.24</v>
          </cell>
          <cell r="V381">
            <v>1522.79</v>
          </cell>
          <cell r="Y381">
            <v>1522.79</v>
          </cell>
          <cell r="AB381">
            <v>1522.79</v>
          </cell>
          <cell r="AE381">
            <v>1522.79</v>
          </cell>
          <cell r="AH381">
            <v>1522.79</v>
          </cell>
        </row>
        <row r="382">
          <cell r="J382">
            <v>0</v>
          </cell>
          <cell r="M382">
            <v>0</v>
          </cell>
          <cell r="P382">
            <v>550.55999999999995</v>
          </cell>
          <cell r="S382">
            <v>2422.91</v>
          </cell>
          <cell r="V382">
            <v>2797.91</v>
          </cell>
          <cell r="Y382">
            <v>2797.91</v>
          </cell>
          <cell r="AB382">
            <v>2797.91</v>
          </cell>
          <cell r="AE382">
            <v>2797.91</v>
          </cell>
          <cell r="AH382">
            <v>2797.91</v>
          </cell>
        </row>
        <row r="383">
          <cell r="J383">
            <v>0</v>
          </cell>
          <cell r="M383">
            <v>0</v>
          </cell>
          <cell r="P383">
            <v>0</v>
          </cell>
          <cell r="S383">
            <v>1607.3</v>
          </cell>
          <cell r="V383">
            <v>1607.3</v>
          </cell>
          <cell r="Y383">
            <v>1607.3</v>
          </cell>
          <cell r="AB383">
            <v>1607.3</v>
          </cell>
          <cell r="AE383">
            <v>1607.3</v>
          </cell>
          <cell r="AH383">
            <v>1607.3</v>
          </cell>
        </row>
        <row r="384">
          <cell r="J384">
            <v>0</v>
          </cell>
          <cell r="M384">
            <v>0</v>
          </cell>
          <cell r="P384">
            <v>0</v>
          </cell>
          <cell r="S384">
            <v>1435.75</v>
          </cell>
          <cell r="V384">
            <v>280.75</v>
          </cell>
          <cell r="Y384">
            <v>280.75</v>
          </cell>
          <cell r="AB384">
            <v>1810.75</v>
          </cell>
          <cell r="AE384">
            <v>1810.75</v>
          </cell>
          <cell r="AH384">
            <v>3075.75</v>
          </cell>
        </row>
        <row r="385">
          <cell r="J385">
            <v>0</v>
          </cell>
          <cell r="M385">
            <v>0</v>
          </cell>
          <cell r="P385">
            <v>0</v>
          </cell>
          <cell r="S385">
            <v>1308.68</v>
          </cell>
          <cell r="V385">
            <v>7580.56</v>
          </cell>
          <cell r="Y385">
            <v>7939.56</v>
          </cell>
          <cell r="AB385">
            <v>6630.88</v>
          </cell>
          <cell r="AE385">
            <v>6630.88</v>
          </cell>
          <cell r="AH385">
            <v>6630.88</v>
          </cell>
        </row>
        <row r="386">
          <cell r="J386">
            <v>0</v>
          </cell>
          <cell r="M386">
            <v>0</v>
          </cell>
          <cell r="P386">
            <v>0</v>
          </cell>
          <cell r="S386">
            <v>1120.1099999999999</v>
          </cell>
          <cell r="V386">
            <v>2140.2199999999998</v>
          </cell>
          <cell r="Y386">
            <v>2140.2199999999998</v>
          </cell>
          <cell r="AB386">
            <v>2344.2199999999998</v>
          </cell>
          <cell r="AE386">
            <v>2344.2199999999998</v>
          </cell>
          <cell r="AH386">
            <v>2344.2199999999998</v>
          </cell>
        </row>
        <row r="387">
          <cell r="J387">
            <v>0</v>
          </cell>
          <cell r="M387">
            <v>0</v>
          </cell>
          <cell r="P387">
            <v>0</v>
          </cell>
          <cell r="S387">
            <v>1623.5700000000002</v>
          </cell>
          <cell r="V387">
            <v>1623.09</v>
          </cell>
          <cell r="Y387">
            <v>2672.09</v>
          </cell>
          <cell r="AB387">
            <v>2672.09</v>
          </cell>
          <cell r="AE387">
            <v>2672.09</v>
          </cell>
          <cell r="AH387">
            <v>2672.09</v>
          </cell>
        </row>
        <row r="388">
          <cell r="J388">
            <v>0</v>
          </cell>
          <cell r="M388">
            <v>0</v>
          </cell>
          <cell r="P388">
            <v>0</v>
          </cell>
          <cell r="S388">
            <v>1001</v>
          </cell>
          <cell r="V388">
            <v>1001</v>
          </cell>
          <cell r="Y388">
            <v>1001</v>
          </cell>
          <cell r="AB388">
            <v>4352.2700000000004</v>
          </cell>
          <cell r="AE388">
            <v>4352.2700000000004</v>
          </cell>
          <cell r="AH388">
            <v>4352.2700000000004</v>
          </cell>
        </row>
        <row r="389">
          <cell r="J389">
            <v>0</v>
          </cell>
          <cell r="M389">
            <v>0</v>
          </cell>
          <cell r="P389">
            <v>0</v>
          </cell>
          <cell r="S389">
            <v>0</v>
          </cell>
          <cell r="V389">
            <v>2685.56</v>
          </cell>
          <cell r="Y389">
            <v>2685.56</v>
          </cell>
          <cell r="AB389">
            <v>2685.56</v>
          </cell>
          <cell r="AE389">
            <v>2685.56</v>
          </cell>
          <cell r="AH389">
            <v>2685.56</v>
          </cell>
        </row>
        <row r="390">
          <cell r="J390">
            <v>0</v>
          </cell>
          <cell r="M390">
            <v>0</v>
          </cell>
          <cell r="P390">
            <v>0</v>
          </cell>
          <cell r="S390">
            <v>0</v>
          </cell>
          <cell r="V390">
            <v>1118.99</v>
          </cell>
          <cell r="Y390">
            <v>1782.7</v>
          </cell>
          <cell r="AB390">
            <v>4812.7</v>
          </cell>
          <cell r="AE390">
            <v>19282.43</v>
          </cell>
          <cell r="AH390">
            <v>19282.43</v>
          </cell>
        </row>
        <row r="391">
          <cell r="J391">
            <v>0</v>
          </cell>
          <cell r="M391">
            <v>0</v>
          </cell>
          <cell r="P391">
            <v>0</v>
          </cell>
          <cell r="S391">
            <v>0</v>
          </cell>
          <cell r="V391">
            <v>0</v>
          </cell>
          <cell r="Y391">
            <v>4019.89</v>
          </cell>
          <cell r="AB391">
            <v>4019.89</v>
          </cell>
          <cell r="AE391">
            <v>4019.89</v>
          </cell>
          <cell r="AH391">
            <v>4019.89</v>
          </cell>
        </row>
        <row r="392">
          <cell r="J392">
            <v>0</v>
          </cell>
          <cell r="M392">
            <v>0</v>
          </cell>
          <cell r="P392">
            <v>0</v>
          </cell>
          <cell r="S392">
            <v>0</v>
          </cell>
          <cell r="V392">
            <v>0</v>
          </cell>
          <cell r="Y392">
            <v>2579.98</v>
          </cell>
          <cell r="AB392">
            <v>2579.98</v>
          </cell>
          <cell r="AE392">
            <v>2579.98</v>
          </cell>
          <cell r="AH392">
            <v>2579.98</v>
          </cell>
        </row>
        <row r="393">
          <cell r="J393">
            <v>0</v>
          </cell>
          <cell r="M393">
            <v>0</v>
          </cell>
          <cell r="P393">
            <v>0</v>
          </cell>
          <cell r="S393">
            <v>0</v>
          </cell>
          <cell r="V393">
            <v>0</v>
          </cell>
          <cell r="Y393">
            <v>0</v>
          </cell>
          <cell r="AB393">
            <v>0</v>
          </cell>
          <cell r="AE393">
            <v>0</v>
          </cell>
          <cell r="AH393">
            <v>0</v>
          </cell>
        </row>
        <row r="394">
          <cell r="J394">
            <v>0</v>
          </cell>
          <cell r="M394">
            <v>0</v>
          </cell>
          <cell r="P394">
            <v>0</v>
          </cell>
          <cell r="S394">
            <v>0</v>
          </cell>
          <cell r="V394">
            <v>0</v>
          </cell>
          <cell r="Y394">
            <v>554</v>
          </cell>
          <cell r="AB394">
            <v>554</v>
          </cell>
          <cell r="AE394">
            <v>554</v>
          </cell>
          <cell r="AH394">
            <v>554</v>
          </cell>
        </row>
        <row r="395">
          <cell r="J395">
            <v>0</v>
          </cell>
          <cell r="M395">
            <v>0</v>
          </cell>
          <cell r="P395">
            <v>0</v>
          </cell>
          <cell r="S395">
            <v>0</v>
          </cell>
          <cell r="V395">
            <v>0</v>
          </cell>
          <cell r="Y395">
            <v>943.87</v>
          </cell>
          <cell r="AB395">
            <v>943.87</v>
          </cell>
          <cell r="AE395">
            <v>943.87</v>
          </cell>
          <cell r="AH395">
            <v>943.87</v>
          </cell>
        </row>
        <row r="396">
          <cell r="J396">
            <v>0</v>
          </cell>
          <cell r="M396">
            <v>0</v>
          </cell>
          <cell r="P396">
            <v>0</v>
          </cell>
          <cell r="S396">
            <v>0</v>
          </cell>
          <cell r="V396">
            <v>0</v>
          </cell>
          <cell r="Y396">
            <v>3</v>
          </cell>
          <cell r="AB396">
            <v>3</v>
          </cell>
          <cell r="AE396">
            <v>3996.95</v>
          </cell>
          <cell r="AH396">
            <v>3996.95</v>
          </cell>
        </row>
        <row r="397">
          <cell r="J397">
            <v>0</v>
          </cell>
          <cell r="M397">
            <v>0</v>
          </cell>
          <cell r="P397">
            <v>0</v>
          </cell>
          <cell r="S397">
            <v>0</v>
          </cell>
          <cell r="V397">
            <v>0</v>
          </cell>
          <cell r="Y397">
            <v>0</v>
          </cell>
          <cell r="AB397">
            <v>4197.55</v>
          </cell>
          <cell r="AE397">
            <v>4372.55</v>
          </cell>
          <cell r="AH397">
            <v>5712.55</v>
          </cell>
        </row>
        <row r="398">
          <cell r="J398">
            <v>0</v>
          </cell>
          <cell r="M398">
            <v>0</v>
          </cell>
          <cell r="P398">
            <v>0</v>
          </cell>
          <cell r="S398">
            <v>0</v>
          </cell>
          <cell r="V398">
            <v>0</v>
          </cell>
          <cell r="Y398">
            <v>0</v>
          </cell>
          <cell r="AB398">
            <v>93</v>
          </cell>
          <cell r="AE398">
            <v>11820.96</v>
          </cell>
          <cell r="AH398">
            <v>11781.17</v>
          </cell>
        </row>
        <row r="399">
          <cell r="J399">
            <v>0</v>
          </cell>
          <cell r="M399">
            <v>0</v>
          </cell>
          <cell r="P399">
            <v>0</v>
          </cell>
          <cell r="S399">
            <v>0</v>
          </cell>
          <cell r="V399">
            <v>0</v>
          </cell>
          <cell r="Y399">
            <v>0</v>
          </cell>
          <cell r="AB399">
            <v>0</v>
          </cell>
          <cell r="AE399">
            <v>0</v>
          </cell>
          <cell r="AH399">
            <v>97</v>
          </cell>
        </row>
        <row r="400">
          <cell r="J400">
            <v>0</v>
          </cell>
          <cell r="M400">
            <v>0</v>
          </cell>
          <cell r="P400">
            <v>0</v>
          </cell>
          <cell r="S400">
            <v>0</v>
          </cell>
          <cell r="V400">
            <v>0</v>
          </cell>
          <cell r="Y400">
            <v>0</v>
          </cell>
          <cell r="AB400">
            <v>0</v>
          </cell>
          <cell r="AE400">
            <v>329.63</v>
          </cell>
          <cell r="AH400">
            <v>329.63</v>
          </cell>
        </row>
        <row r="401">
          <cell r="J401">
            <v>0</v>
          </cell>
          <cell r="M401">
            <v>0</v>
          </cell>
          <cell r="P401">
            <v>0</v>
          </cell>
          <cell r="S401">
            <v>0</v>
          </cell>
          <cell r="V401">
            <v>0</v>
          </cell>
          <cell r="Y401">
            <v>0</v>
          </cell>
          <cell r="AB401">
            <v>0</v>
          </cell>
          <cell r="AE401">
            <v>5281.88</v>
          </cell>
          <cell r="AH401">
            <v>6549.08</v>
          </cell>
        </row>
        <row r="402">
          <cell r="J402">
            <v>0</v>
          </cell>
          <cell r="M402">
            <v>0</v>
          </cell>
          <cell r="P402">
            <v>0</v>
          </cell>
          <cell r="S402">
            <v>0</v>
          </cell>
          <cell r="V402">
            <v>0</v>
          </cell>
          <cell r="Y402">
            <v>0</v>
          </cell>
          <cell r="AB402">
            <v>0</v>
          </cell>
          <cell r="AE402">
            <v>0</v>
          </cell>
          <cell r="AH402">
            <v>6816.65</v>
          </cell>
        </row>
        <row r="403">
          <cell r="J403">
            <v>0</v>
          </cell>
          <cell r="M403">
            <v>0</v>
          </cell>
          <cell r="P403">
            <v>0</v>
          </cell>
          <cell r="S403">
            <v>0</v>
          </cell>
          <cell r="V403">
            <v>0</v>
          </cell>
          <cell r="Y403">
            <v>0</v>
          </cell>
          <cell r="AB403">
            <v>0</v>
          </cell>
          <cell r="AE403">
            <v>0</v>
          </cell>
          <cell r="AH403">
            <v>880.06</v>
          </cell>
        </row>
        <row r="404">
          <cell r="J404">
            <v>0</v>
          </cell>
          <cell r="M404">
            <v>0</v>
          </cell>
          <cell r="P404">
            <v>0</v>
          </cell>
          <cell r="S404">
            <v>0</v>
          </cell>
          <cell r="V404">
            <v>0</v>
          </cell>
          <cell r="Y404">
            <v>0</v>
          </cell>
          <cell r="AB404">
            <v>0</v>
          </cell>
          <cell r="AE404">
            <v>0</v>
          </cell>
          <cell r="AH404">
            <v>3971.62</v>
          </cell>
        </row>
        <row r="405">
          <cell r="J405">
            <v>0</v>
          </cell>
          <cell r="M405">
            <v>0</v>
          </cell>
          <cell r="P405">
            <v>0</v>
          </cell>
          <cell r="S405">
            <v>0</v>
          </cell>
          <cell r="V405">
            <v>0</v>
          </cell>
          <cell r="Y405">
            <v>0</v>
          </cell>
          <cell r="AB405">
            <v>0</v>
          </cell>
          <cell r="AE405">
            <v>0</v>
          </cell>
          <cell r="AH405">
            <v>829.29</v>
          </cell>
        </row>
        <row r="406">
          <cell r="J406">
            <v>0</v>
          </cell>
          <cell r="M406">
            <v>0</v>
          </cell>
          <cell r="P406">
            <v>0</v>
          </cell>
          <cell r="S406">
            <v>0</v>
          </cell>
          <cell r="V406">
            <v>0</v>
          </cell>
          <cell r="Y406">
            <v>0</v>
          </cell>
          <cell r="AB406">
            <v>0</v>
          </cell>
          <cell r="AE406">
            <v>0</v>
          </cell>
          <cell r="AH406">
            <v>421.32</v>
          </cell>
        </row>
        <row r="407">
          <cell r="J407">
            <v>0</v>
          </cell>
          <cell r="M407">
            <v>0</v>
          </cell>
          <cell r="P407">
            <v>0</v>
          </cell>
          <cell r="S407">
            <v>0</v>
          </cell>
          <cell r="V407">
            <v>0</v>
          </cell>
          <cell r="Y407">
            <v>0</v>
          </cell>
          <cell r="AB407">
            <v>0</v>
          </cell>
          <cell r="AE407">
            <v>0</v>
          </cell>
          <cell r="AH407">
            <v>1229</v>
          </cell>
        </row>
        <row r="408">
          <cell r="J408">
            <v>0</v>
          </cell>
          <cell r="M408">
            <v>0</v>
          </cell>
          <cell r="P408">
            <v>0</v>
          </cell>
          <cell r="S408">
            <v>0</v>
          </cell>
          <cell r="V408">
            <v>0</v>
          </cell>
          <cell r="Y408">
            <v>0</v>
          </cell>
          <cell r="AB408">
            <v>0</v>
          </cell>
          <cell r="AE408">
            <v>50435.293985385048</v>
          </cell>
          <cell r="AH408">
            <v>49951</v>
          </cell>
        </row>
        <row r="409">
          <cell r="J409">
            <v>0</v>
          </cell>
          <cell r="M409">
            <v>0</v>
          </cell>
          <cell r="P409">
            <v>-151.97</v>
          </cell>
          <cell r="S409">
            <v>-244.03</v>
          </cell>
          <cell r="V409">
            <v>-286.29000000000002</v>
          </cell>
          <cell r="Y409">
            <v>642.55329428989739</v>
          </cell>
          <cell r="AB409">
            <v>2401.12</v>
          </cell>
          <cell r="AE409">
            <v>2420.84</v>
          </cell>
          <cell r="AH409">
            <v>2269.2399999999998</v>
          </cell>
        </row>
        <row r="410">
          <cell r="J410">
            <v>0</v>
          </cell>
          <cell r="M410">
            <v>0</v>
          </cell>
          <cell r="P410">
            <v>0</v>
          </cell>
          <cell r="S410">
            <v>0</v>
          </cell>
          <cell r="V410">
            <v>0</v>
          </cell>
          <cell r="Y410">
            <v>0</v>
          </cell>
          <cell r="AB410">
            <v>0</v>
          </cell>
          <cell r="AE410">
            <v>0</v>
          </cell>
          <cell r="AH410">
            <v>68.72</v>
          </cell>
        </row>
        <row r="411">
          <cell r="J411">
            <v>0</v>
          </cell>
          <cell r="M411">
            <v>17167.86</v>
          </cell>
          <cell r="P411">
            <v>28084.26</v>
          </cell>
          <cell r="S411">
            <v>39439.78</v>
          </cell>
          <cell r="V411">
            <v>50495.93</v>
          </cell>
          <cell r="Y411">
            <v>61623.32</v>
          </cell>
          <cell r="AB411">
            <v>72702.039999999994</v>
          </cell>
          <cell r="AE411">
            <v>83382.210000000006</v>
          </cell>
          <cell r="AH411">
            <v>93708.45</v>
          </cell>
        </row>
        <row r="412">
          <cell r="J412">
            <v>0</v>
          </cell>
          <cell r="M412">
            <v>970.46</v>
          </cell>
          <cell r="P412">
            <v>1648.43</v>
          </cell>
          <cell r="S412">
            <v>2350.0500000000002</v>
          </cell>
          <cell r="V412">
            <v>3036.4</v>
          </cell>
          <cell r="Y412">
            <v>3727.18</v>
          </cell>
          <cell r="AB412">
            <v>4414.0600000000004</v>
          </cell>
          <cell r="AE412">
            <v>5076.2299999999996</v>
          </cell>
          <cell r="AH412">
            <v>5720.36</v>
          </cell>
        </row>
        <row r="413">
          <cell r="J413">
            <v>0</v>
          </cell>
          <cell r="M413">
            <v>0</v>
          </cell>
          <cell r="P413">
            <v>1654.41</v>
          </cell>
          <cell r="S413">
            <v>2287.69</v>
          </cell>
          <cell r="V413">
            <v>2913.24</v>
          </cell>
          <cell r="Y413">
            <v>3542.82</v>
          </cell>
          <cell r="AB413">
            <v>4169.6400000000003</v>
          </cell>
          <cell r="AE413">
            <v>4773.91</v>
          </cell>
          <cell r="AH413">
            <v>5353.11</v>
          </cell>
        </row>
        <row r="414">
          <cell r="J414">
            <v>0</v>
          </cell>
          <cell r="M414">
            <v>0</v>
          </cell>
          <cell r="P414">
            <v>2397.3000000000002</v>
          </cell>
          <cell r="S414">
            <v>3329.55</v>
          </cell>
          <cell r="V414">
            <v>4250.41</v>
          </cell>
          <cell r="Y414">
            <v>5177.2</v>
          </cell>
          <cell r="AB414">
            <v>6099.94</v>
          </cell>
          <cell r="AE414">
            <v>6989.48</v>
          </cell>
          <cell r="AH414">
            <v>7842.12</v>
          </cell>
        </row>
        <row r="415">
          <cell r="J415">
            <v>0</v>
          </cell>
          <cell r="M415">
            <v>0</v>
          </cell>
          <cell r="P415">
            <v>272.91000000000003</v>
          </cell>
          <cell r="S415">
            <v>216.95</v>
          </cell>
          <cell r="V415">
            <v>327.51</v>
          </cell>
          <cell r="Y415">
            <v>438.78</v>
          </cell>
          <cell r="AB415">
            <v>538.49</v>
          </cell>
          <cell r="AE415">
            <v>634.61</v>
          </cell>
          <cell r="AH415">
            <v>726.74</v>
          </cell>
        </row>
        <row r="416">
          <cell r="J416">
            <v>0</v>
          </cell>
          <cell r="M416">
            <v>0</v>
          </cell>
          <cell r="P416">
            <v>1015.51</v>
          </cell>
          <cell r="S416">
            <v>1362.49</v>
          </cell>
          <cell r="V416">
            <v>1705.23</v>
          </cell>
          <cell r="Y416">
            <v>2050.1799999999998</v>
          </cell>
          <cell r="AB416">
            <v>2393.62</v>
          </cell>
          <cell r="AE416">
            <v>2724.7</v>
          </cell>
          <cell r="AH416">
            <v>3042.05</v>
          </cell>
        </row>
        <row r="417">
          <cell r="J417">
            <v>0</v>
          </cell>
          <cell r="M417">
            <v>1980.26</v>
          </cell>
          <cell r="P417">
            <v>3239.6</v>
          </cell>
          <cell r="S417">
            <v>2593.8000000000002</v>
          </cell>
          <cell r="V417">
            <v>3869.26</v>
          </cell>
          <cell r="Y417">
            <v>5153.3</v>
          </cell>
          <cell r="AB417">
            <v>6431.36</v>
          </cell>
          <cell r="AE417">
            <v>2118.9</v>
          </cell>
          <cell r="AH417">
            <v>3004.54</v>
          </cell>
        </row>
        <row r="418">
          <cell r="J418">
            <v>0</v>
          </cell>
          <cell r="M418">
            <v>-1107.1199999999999</v>
          </cell>
          <cell r="P418">
            <v>-3093.04</v>
          </cell>
          <cell r="S418">
            <v>-4240.6099999999997</v>
          </cell>
          <cell r="V418">
            <v>-5418.09</v>
          </cell>
          <cell r="Y418">
            <v>-6603.45</v>
          </cell>
          <cell r="AB418">
            <v>-7772.25</v>
          </cell>
          <cell r="AE418">
            <v>-8899.01</v>
          </cell>
          <cell r="AH418">
            <v>-10046.91</v>
          </cell>
        </row>
        <row r="419">
          <cell r="J419">
            <v>0</v>
          </cell>
          <cell r="M419">
            <v>1079.51</v>
          </cell>
          <cell r="P419">
            <v>2202.75</v>
          </cell>
          <cell r="S419">
            <v>3354.44</v>
          </cell>
          <cell r="V419">
            <v>4492.0600000000004</v>
          </cell>
          <cell r="Y419">
            <v>5637.01</v>
          </cell>
          <cell r="AB419">
            <v>6776.95</v>
          </cell>
          <cell r="AE419">
            <v>7875.88</v>
          </cell>
          <cell r="AH419">
            <v>8929.2199999999993</v>
          </cell>
        </row>
        <row r="420">
          <cell r="J420">
            <v>0</v>
          </cell>
          <cell r="M420">
            <v>27.61</v>
          </cell>
          <cell r="P420">
            <v>56.34</v>
          </cell>
          <cell r="S420">
            <v>85.8</v>
          </cell>
          <cell r="V420">
            <v>114.9</v>
          </cell>
          <cell r="Y420">
            <v>144.18</v>
          </cell>
          <cell r="AB420">
            <v>173.33</v>
          </cell>
          <cell r="AE420">
            <v>201.44</v>
          </cell>
          <cell r="AH420">
            <v>228.38</v>
          </cell>
        </row>
        <row r="421">
          <cell r="J421">
            <v>0</v>
          </cell>
          <cell r="M421">
            <v>0</v>
          </cell>
          <cell r="P421">
            <v>338.41</v>
          </cell>
          <cell r="S421">
            <v>338.41</v>
          </cell>
          <cell r="V421">
            <v>338.12</v>
          </cell>
          <cell r="Y421">
            <v>338.12</v>
          </cell>
          <cell r="AB421">
            <v>338.12</v>
          </cell>
          <cell r="AE421">
            <v>337.84</v>
          </cell>
          <cell r="AH421">
            <v>337.84</v>
          </cell>
        </row>
        <row r="422">
          <cell r="J422">
            <v>0</v>
          </cell>
          <cell r="M422">
            <v>0</v>
          </cell>
          <cell r="P422">
            <v>222.64</v>
          </cell>
          <cell r="S422">
            <v>121.9</v>
          </cell>
          <cell r="V422">
            <v>22.39</v>
          </cell>
          <cell r="Y422">
            <v>-4.26</v>
          </cell>
          <cell r="AB422">
            <v>-4.26</v>
          </cell>
          <cell r="AE422">
            <v>-4.26</v>
          </cell>
          <cell r="AH422">
            <v>-4.26</v>
          </cell>
        </row>
        <row r="423">
          <cell r="J423">
            <v>0</v>
          </cell>
          <cell r="M423">
            <v>0</v>
          </cell>
          <cell r="P423">
            <v>272.91000000000003</v>
          </cell>
          <cell r="S423">
            <v>216.95</v>
          </cell>
          <cell r="V423">
            <v>327.51</v>
          </cell>
          <cell r="Y423">
            <v>365.28</v>
          </cell>
          <cell r="AB423">
            <v>364.99</v>
          </cell>
          <cell r="AE423">
            <v>364.99</v>
          </cell>
          <cell r="AH423">
            <v>364.99</v>
          </cell>
        </row>
        <row r="424">
          <cell r="J424">
            <v>0</v>
          </cell>
          <cell r="M424">
            <v>0</v>
          </cell>
          <cell r="P424">
            <v>0</v>
          </cell>
          <cell r="S424">
            <v>123.12</v>
          </cell>
          <cell r="V424">
            <v>123.12</v>
          </cell>
          <cell r="Y424">
            <v>123.12</v>
          </cell>
          <cell r="AB424">
            <v>123.12</v>
          </cell>
          <cell r="AE424">
            <v>123.12</v>
          </cell>
          <cell r="AH424">
            <v>190.74</v>
          </cell>
        </row>
        <row r="425">
          <cell r="J425">
            <v>0</v>
          </cell>
          <cell r="M425">
            <v>826.2</v>
          </cell>
          <cell r="P425">
            <v>2798.36</v>
          </cell>
          <cell r="S425">
            <v>4047.56</v>
          </cell>
          <cell r="V425">
            <v>5445.05</v>
          </cell>
          <cell r="Y425">
            <v>6799.76</v>
          </cell>
          <cell r="AB425">
            <v>7905.17</v>
          </cell>
          <cell r="AE425">
            <v>9560.98</v>
          </cell>
          <cell r="AH425">
            <v>10839.69</v>
          </cell>
        </row>
        <row r="426">
          <cell r="J426">
            <v>0</v>
          </cell>
          <cell r="M426">
            <v>0</v>
          </cell>
          <cell r="P426">
            <v>2178.5500000000002</v>
          </cell>
          <cell r="S426">
            <v>2178.5500000000002</v>
          </cell>
          <cell r="V426">
            <v>2178.5500000000002</v>
          </cell>
          <cell r="Y426">
            <v>1778.5500000000002</v>
          </cell>
          <cell r="AB426">
            <v>1778.55</v>
          </cell>
          <cell r="AE426">
            <v>1378.55</v>
          </cell>
          <cell r="AH426">
            <v>1378.55</v>
          </cell>
        </row>
        <row r="427">
          <cell r="J427">
            <v>0</v>
          </cell>
          <cell r="M427">
            <v>0</v>
          </cell>
          <cell r="P427">
            <v>918.87</v>
          </cell>
          <cell r="S427">
            <v>2276.02</v>
          </cell>
          <cell r="V427">
            <v>2651.02</v>
          </cell>
          <cell r="Y427">
            <v>2651.02</v>
          </cell>
          <cell r="AB427">
            <v>2651.02</v>
          </cell>
          <cell r="AE427">
            <v>2651.02</v>
          </cell>
          <cell r="AH427">
            <v>2651.02</v>
          </cell>
        </row>
        <row r="428">
          <cell r="J428">
            <v>0</v>
          </cell>
          <cell r="M428">
            <v>0</v>
          </cell>
          <cell r="P428">
            <v>0</v>
          </cell>
          <cell r="S428">
            <v>0</v>
          </cell>
          <cell r="V428">
            <v>0</v>
          </cell>
          <cell r="Y428">
            <v>0</v>
          </cell>
          <cell r="AB428">
            <v>0</v>
          </cell>
          <cell r="AE428">
            <v>0</v>
          </cell>
          <cell r="AH428">
            <v>615.16</v>
          </cell>
        </row>
        <row r="429">
          <cell r="J429">
            <v>0</v>
          </cell>
          <cell r="M429">
            <v>0</v>
          </cell>
          <cell r="P429">
            <v>0</v>
          </cell>
          <cell r="S429">
            <v>0</v>
          </cell>
          <cell r="V429">
            <v>0</v>
          </cell>
          <cell r="Y429">
            <v>0</v>
          </cell>
          <cell r="AB429">
            <v>0</v>
          </cell>
          <cell r="AE429">
            <v>0</v>
          </cell>
          <cell r="AH429">
            <v>293.79000000000002</v>
          </cell>
        </row>
        <row r="430">
          <cell r="J430">
            <v>1028.7</v>
          </cell>
          <cell r="M430">
            <v>1840.1</v>
          </cell>
          <cell r="P430">
            <v>1967.44</v>
          </cell>
          <cell r="S430">
            <v>2141.86</v>
          </cell>
          <cell r="V430">
            <v>2161.63</v>
          </cell>
          <cell r="Y430">
            <v>2857.57</v>
          </cell>
          <cell r="AB430">
            <v>3867.75</v>
          </cell>
          <cell r="AE430">
            <v>4143.04</v>
          </cell>
          <cell r="AH430">
            <v>4260.6400000000003</v>
          </cell>
        </row>
        <row r="431">
          <cell r="J431">
            <v>236.1</v>
          </cell>
          <cell r="M431">
            <v>236.1</v>
          </cell>
          <cell r="P431">
            <v>236.1</v>
          </cell>
          <cell r="S431">
            <v>236.1</v>
          </cell>
          <cell r="V431">
            <v>236.1</v>
          </cell>
          <cell r="Y431">
            <v>236.1</v>
          </cell>
          <cell r="AB431">
            <v>236.1</v>
          </cell>
          <cell r="AE431">
            <v>1701.51</v>
          </cell>
          <cell r="AH431">
            <v>1701.51</v>
          </cell>
        </row>
        <row r="432">
          <cell r="J432">
            <v>0</v>
          </cell>
          <cell r="M432">
            <v>290.10000000000002</v>
          </cell>
          <cell r="P432">
            <v>290.10000000000002</v>
          </cell>
          <cell r="S432">
            <v>290.10000000000002</v>
          </cell>
          <cell r="V432">
            <v>290.10000000000002</v>
          </cell>
          <cell r="Y432">
            <v>290.10000000000002</v>
          </cell>
          <cell r="AB432">
            <v>290.10000000000002</v>
          </cell>
          <cell r="AE432">
            <v>290.10000000000002</v>
          </cell>
          <cell r="AH432">
            <v>290.10000000000002</v>
          </cell>
        </row>
        <row r="433">
          <cell r="J433">
            <v>1.97</v>
          </cell>
          <cell r="M433">
            <v>79.989999999999995</v>
          </cell>
          <cell r="P433">
            <v>111.02</v>
          </cell>
          <cell r="S433">
            <v>133.79</v>
          </cell>
          <cell r="V433">
            <v>199.77</v>
          </cell>
          <cell r="Y433">
            <v>208.79</v>
          </cell>
          <cell r="AB433">
            <v>217.27</v>
          </cell>
          <cell r="AE433">
            <v>266.2</v>
          </cell>
          <cell r="AH433">
            <v>268.91000000000003</v>
          </cell>
        </row>
        <row r="434">
          <cell r="J434">
            <v>1459.17</v>
          </cell>
          <cell r="M434">
            <v>1459.17</v>
          </cell>
          <cell r="P434">
            <v>1459.17</v>
          </cell>
          <cell r="S434">
            <v>1459.17</v>
          </cell>
          <cell r="V434">
            <v>1459.17</v>
          </cell>
          <cell r="Y434">
            <v>2295.1</v>
          </cell>
          <cell r="AB434">
            <v>6604.21</v>
          </cell>
          <cell r="AE434">
            <v>7004.92</v>
          </cell>
          <cell r="AH434">
            <v>7004.92</v>
          </cell>
        </row>
        <row r="435">
          <cell r="J435">
            <v>489.01</v>
          </cell>
          <cell r="M435">
            <v>1128.17</v>
          </cell>
          <cell r="P435">
            <v>1724.18</v>
          </cell>
          <cell r="S435">
            <v>2278.5500000000002</v>
          </cell>
          <cell r="V435">
            <v>3428.6641379310345</v>
          </cell>
          <cell r="Y435">
            <v>4197.1753294289902</v>
          </cell>
          <cell r="AB435">
            <v>4992.3999999999996</v>
          </cell>
          <cell r="AE435">
            <v>5945.31</v>
          </cell>
          <cell r="AH435">
            <v>6062.96</v>
          </cell>
        </row>
        <row r="436">
          <cell r="J436">
            <v>1090.2</v>
          </cell>
          <cell r="M436">
            <v>1139.31</v>
          </cell>
          <cell r="P436">
            <v>1579.23</v>
          </cell>
          <cell r="S436">
            <v>2382.67</v>
          </cell>
          <cell r="V436">
            <v>3020.34</v>
          </cell>
          <cell r="Y436">
            <v>3703.43</v>
          </cell>
          <cell r="AB436">
            <v>3261.23</v>
          </cell>
          <cell r="AE436">
            <v>4470.76</v>
          </cell>
          <cell r="AH436">
            <v>4946.1499999999996</v>
          </cell>
        </row>
        <row r="437">
          <cell r="J437">
            <v>0</v>
          </cell>
          <cell r="M437">
            <v>0</v>
          </cell>
          <cell r="P437">
            <v>0</v>
          </cell>
          <cell r="S437">
            <v>257.01</v>
          </cell>
          <cell r="V437">
            <v>257.01</v>
          </cell>
          <cell r="Y437">
            <v>257.01</v>
          </cell>
          <cell r="AB437">
            <v>598.12</v>
          </cell>
          <cell r="AE437">
            <v>598.12</v>
          </cell>
          <cell r="AH437">
            <v>936</v>
          </cell>
        </row>
        <row r="438">
          <cell r="J438">
            <v>575.5</v>
          </cell>
          <cell r="M438">
            <v>3572.89</v>
          </cell>
          <cell r="P438">
            <v>4511.55</v>
          </cell>
          <cell r="S438">
            <v>5091.5203829160528</v>
          </cell>
          <cell r="V438">
            <v>5978.5833866744251</v>
          </cell>
          <cell r="Y438">
            <v>6973.5448901903374</v>
          </cell>
          <cell r="AB438">
            <v>8401.4599999999991</v>
          </cell>
          <cell r="AE438">
            <v>8243.74</v>
          </cell>
          <cell r="AH438">
            <v>9362.7099999999991</v>
          </cell>
        </row>
        <row r="439">
          <cell r="J439">
            <v>433.34</v>
          </cell>
          <cell r="M439">
            <v>747.09</v>
          </cell>
          <cell r="P439">
            <v>1034.3599999999999</v>
          </cell>
          <cell r="S439">
            <v>1261.1500000000001</v>
          </cell>
          <cell r="V439">
            <v>1286.73</v>
          </cell>
          <cell r="Y439">
            <v>2210.27</v>
          </cell>
          <cell r="AB439">
            <v>2973.4</v>
          </cell>
          <cell r="AE439">
            <v>3856.06</v>
          </cell>
          <cell r="AH439">
            <v>5759.14</v>
          </cell>
        </row>
        <row r="440">
          <cell r="J440">
            <v>0</v>
          </cell>
          <cell r="M440">
            <v>97.62</v>
          </cell>
          <cell r="P440">
            <v>205.49</v>
          </cell>
          <cell r="S440">
            <v>205.49</v>
          </cell>
          <cell r="V440">
            <v>205.49</v>
          </cell>
          <cell r="Y440">
            <v>205.49</v>
          </cell>
          <cell r="AB440">
            <v>205.49</v>
          </cell>
          <cell r="AE440">
            <v>205.49</v>
          </cell>
          <cell r="AH440">
            <v>205.49</v>
          </cell>
        </row>
        <row r="441">
          <cell r="J441">
            <v>-73.8</v>
          </cell>
          <cell r="M441">
            <v>-56.81</v>
          </cell>
          <cell r="P441">
            <v>-56.81</v>
          </cell>
          <cell r="S441">
            <v>-56.81</v>
          </cell>
          <cell r="V441">
            <v>734.47</v>
          </cell>
          <cell r="Y441">
            <v>1683.516017569546</v>
          </cell>
          <cell r="AB441">
            <v>3533.83</v>
          </cell>
          <cell r="AE441">
            <v>4766.18</v>
          </cell>
          <cell r="AH441">
            <v>5776.43</v>
          </cell>
        </row>
        <row r="442">
          <cell r="J442">
            <v>3.99</v>
          </cell>
          <cell r="M442">
            <v>3.99</v>
          </cell>
          <cell r="P442">
            <v>175.69</v>
          </cell>
          <cell r="S442">
            <v>196.15</v>
          </cell>
          <cell r="V442">
            <v>196.15</v>
          </cell>
          <cell r="Y442">
            <v>196.15</v>
          </cell>
          <cell r="AB442">
            <v>196.15</v>
          </cell>
          <cell r="AE442">
            <v>196.15</v>
          </cell>
          <cell r="AH442">
            <v>1133.42</v>
          </cell>
        </row>
        <row r="443">
          <cell r="J443">
            <v>76.180000000000007</v>
          </cell>
          <cell r="M443">
            <v>328.05</v>
          </cell>
          <cell r="P443">
            <v>338.86</v>
          </cell>
          <cell r="S443">
            <v>364.39</v>
          </cell>
          <cell r="V443">
            <v>364.39</v>
          </cell>
          <cell r="Y443">
            <v>364.39</v>
          </cell>
          <cell r="AB443">
            <v>404.39</v>
          </cell>
          <cell r="AE443">
            <v>2038.29</v>
          </cell>
          <cell r="AH443">
            <v>2048.2800000000002</v>
          </cell>
        </row>
        <row r="444">
          <cell r="J444">
            <v>2282.8957681940701</v>
          </cell>
          <cell r="M444">
            <v>3640.0268801766979</v>
          </cell>
          <cell r="P444">
            <v>7142.93</v>
          </cell>
          <cell r="S444">
            <v>8197.6</v>
          </cell>
          <cell r="V444">
            <v>8265.4</v>
          </cell>
          <cell r="Y444">
            <v>11964.858433382138</v>
          </cell>
          <cell r="AB444">
            <v>14862.28</v>
          </cell>
          <cell r="AE444">
            <v>19993.949381675098</v>
          </cell>
          <cell r="AH444">
            <v>20024.981724137931</v>
          </cell>
        </row>
        <row r="445">
          <cell r="J445">
            <v>423.55</v>
          </cell>
          <cell r="M445">
            <v>518.80161789066801</v>
          </cell>
          <cell r="P445">
            <v>1182.81</v>
          </cell>
          <cell r="S445">
            <v>1460.9</v>
          </cell>
          <cell r="V445">
            <v>1964.6399999999999</v>
          </cell>
          <cell r="Y445">
            <v>2330.02</v>
          </cell>
          <cell r="AB445">
            <v>2703.679008746356</v>
          </cell>
          <cell r="AE445">
            <v>3443.43</v>
          </cell>
          <cell r="AH445">
            <v>5312.67</v>
          </cell>
        </row>
        <row r="446">
          <cell r="J446">
            <v>5501.58</v>
          </cell>
          <cell r="M446">
            <v>7501.58</v>
          </cell>
          <cell r="P446">
            <v>10658.41</v>
          </cell>
          <cell r="S446">
            <v>14068.91</v>
          </cell>
          <cell r="V446">
            <v>16643.84</v>
          </cell>
          <cell r="Y446">
            <v>22146.15</v>
          </cell>
          <cell r="AB446">
            <v>25325.21</v>
          </cell>
          <cell r="AE446">
            <v>29770.63</v>
          </cell>
          <cell r="AH446">
            <v>32145.66</v>
          </cell>
        </row>
        <row r="447">
          <cell r="J447">
            <v>990.91</v>
          </cell>
          <cell r="M447">
            <v>2006.09</v>
          </cell>
          <cell r="P447">
            <v>1523.65</v>
          </cell>
          <cell r="S447">
            <v>7513.53</v>
          </cell>
          <cell r="V447">
            <v>13009.79</v>
          </cell>
          <cell r="Y447">
            <v>10826.59</v>
          </cell>
          <cell r="AB447">
            <v>10537.05</v>
          </cell>
          <cell r="AE447">
            <v>11822.88</v>
          </cell>
          <cell r="AH447">
            <v>12845.24</v>
          </cell>
        </row>
        <row r="448">
          <cell r="J448">
            <v>5406.18</v>
          </cell>
          <cell r="M448">
            <v>11774.71</v>
          </cell>
          <cell r="P448">
            <v>19106.37</v>
          </cell>
          <cell r="S448">
            <v>22791.09</v>
          </cell>
          <cell r="V448">
            <v>29812.47</v>
          </cell>
          <cell r="Y448">
            <v>36633.440000000002</v>
          </cell>
          <cell r="AB448">
            <v>47278.06</v>
          </cell>
          <cell r="AE448">
            <v>62350.74</v>
          </cell>
          <cell r="AH448">
            <v>68880.12</v>
          </cell>
        </row>
        <row r="449">
          <cell r="J449">
            <v>321.69</v>
          </cell>
          <cell r="M449">
            <v>321.69</v>
          </cell>
          <cell r="P449">
            <v>321.69</v>
          </cell>
          <cell r="S449">
            <v>321.69</v>
          </cell>
          <cell r="V449">
            <v>321.69</v>
          </cell>
          <cell r="Y449">
            <v>321.69</v>
          </cell>
          <cell r="AB449">
            <v>321.69</v>
          </cell>
          <cell r="AE449">
            <v>15321.69</v>
          </cell>
          <cell r="AH449">
            <v>15607.36</v>
          </cell>
        </row>
        <row r="450">
          <cell r="J450">
            <v>668.8</v>
          </cell>
          <cell r="M450">
            <v>20336.145256764219</v>
          </cell>
          <cell r="P450">
            <v>32272.63</v>
          </cell>
          <cell r="S450">
            <v>41299.4</v>
          </cell>
          <cell r="V450">
            <v>51092.69</v>
          </cell>
          <cell r="Y450">
            <v>61092.69</v>
          </cell>
          <cell r="AB450">
            <v>66092.69</v>
          </cell>
          <cell r="AE450">
            <v>92570.62</v>
          </cell>
          <cell r="AH450">
            <v>106407.11</v>
          </cell>
        </row>
        <row r="451">
          <cell r="J451">
            <v>971.99</v>
          </cell>
          <cell r="M451">
            <v>1857.16</v>
          </cell>
          <cell r="P451">
            <v>2847.9</v>
          </cell>
          <cell r="S451">
            <v>3806.68</v>
          </cell>
          <cell r="V451">
            <v>4834.55</v>
          </cell>
          <cell r="Y451">
            <v>6329.61</v>
          </cell>
          <cell r="AB451">
            <v>7970.29</v>
          </cell>
          <cell r="AE451">
            <v>9633.85</v>
          </cell>
          <cell r="AH451">
            <v>11655.17</v>
          </cell>
        </row>
        <row r="452">
          <cell r="J452">
            <v>220.95</v>
          </cell>
          <cell r="M452">
            <v>434.71</v>
          </cell>
          <cell r="P452">
            <v>671.89</v>
          </cell>
          <cell r="S452">
            <v>901.42</v>
          </cell>
          <cell r="V452">
            <v>1138.5999999999999</v>
          </cell>
          <cell r="Y452">
            <v>1371.41</v>
          </cell>
          <cell r="AB452">
            <v>1614.79</v>
          </cell>
          <cell r="AE452">
            <v>1896.63</v>
          </cell>
          <cell r="AH452">
            <v>2180.37</v>
          </cell>
        </row>
        <row r="453">
          <cell r="J453">
            <v>0</v>
          </cell>
          <cell r="M453">
            <v>0</v>
          </cell>
          <cell r="P453">
            <v>6.22</v>
          </cell>
          <cell r="S453">
            <v>16.04</v>
          </cell>
          <cell r="V453">
            <v>26.19</v>
          </cell>
          <cell r="Y453">
            <v>36.01</v>
          </cell>
          <cell r="AB453">
            <v>46.16</v>
          </cell>
          <cell r="AE453">
            <v>63.32</v>
          </cell>
          <cell r="AH453">
            <v>96.27</v>
          </cell>
        </row>
        <row r="454">
          <cell r="J454">
            <v>205.66</v>
          </cell>
          <cell r="M454">
            <v>391.41</v>
          </cell>
          <cell r="P454">
            <v>682.09</v>
          </cell>
          <cell r="S454">
            <v>1041.17</v>
          </cell>
          <cell r="V454">
            <v>1485.38</v>
          </cell>
          <cell r="Y454">
            <v>1987.84</v>
          </cell>
          <cell r="AB454">
            <v>2521.77</v>
          </cell>
          <cell r="AE454">
            <v>3060</v>
          </cell>
          <cell r="AH454">
            <v>3620.08</v>
          </cell>
        </row>
        <row r="455">
          <cell r="J455">
            <v>1585.76</v>
          </cell>
          <cell r="M455">
            <v>3126.72</v>
          </cell>
          <cell r="P455">
            <v>5005.53</v>
          </cell>
          <cell r="S455">
            <v>6864.92</v>
          </cell>
          <cell r="V455">
            <v>8786.2999999999993</v>
          </cell>
          <cell r="Y455">
            <v>10649.12</v>
          </cell>
          <cell r="AB455">
            <v>12586.36</v>
          </cell>
          <cell r="AE455">
            <v>14534.38</v>
          </cell>
          <cell r="AH455">
            <v>16438.259999999998</v>
          </cell>
        </row>
        <row r="456">
          <cell r="J456">
            <v>3333.9900000000002</v>
          </cell>
          <cell r="M456">
            <v>8883.61</v>
          </cell>
          <cell r="P456">
            <v>14433.23</v>
          </cell>
          <cell r="S456">
            <v>19982.849999999999</v>
          </cell>
          <cell r="V456">
            <v>25532.47</v>
          </cell>
          <cell r="Y456">
            <v>31082.09</v>
          </cell>
          <cell r="AB456">
            <v>36631.699999999997</v>
          </cell>
          <cell r="AE456">
            <v>45800.74</v>
          </cell>
          <cell r="AH456">
            <v>54969.75</v>
          </cell>
        </row>
        <row r="457">
          <cell r="J457">
            <v>696.28</v>
          </cell>
          <cell r="M457">
            <v>1196.28</v>
          </cell>
          <cell r="P457">
            <v>1696.28</v>
          </cell>
          <cell r="S457">
            <v>2196.2800000000002</v>
          </cell>
          <cell r="V457">
            <v>2696.28</v>
          </cell>
          <cell r="Y457">
            <v>3848.34</v>
          </cell>
          <cell r="AB457">
            <v>4348.34</v>
          </cell>
          <cell r="AE457">
            <v>7212.68</v>
          </cell>
          <cell r="AH457">
            <v>11909.099141914192</v>
          </cell>
        </row>
        <row r="458">
          <cell r="J458">
            <v>2989.3</v>
          </cell>
          <cell r="M458">
            <v>3347.76</v>
          </cell>
          <cell r="P458">
            <v>3629.21</v>
          </cell>
          <cell r="S458">
            <v>3629.21</v>
          </cell>
          <cell r="V458">
            <v>3629.21</v>
          </cell>
          <cell r="Y458">
            <v>3629.21</v>
          </cell>
          <cell r="AB458">
            <v>4491.79</v>
          </cell>
          <cell r="AE458">
            <v>4491.79</v>
          </cell>
          <cell r="AH458">
            <v>4491.79</v>
          </cell>
        </row>
        <row r="459">
          <cell r="J459">
            <v>0</v>
          </cell>
          <cell r="M459">
            <v>460.58</v>
          </cell>
          <cell r="P459">
            <v>1150.6099999999999</v>
          </cell>
          <cell r="S459">
            <v>2014.42</v>
          </cell>
          <cell r="V459">
            <v>2898.08</v>
          </cell>
          <cell r="Y459">
            <v>3775.27</v>
          </cell>
          <cell r="AB459">
            <v>4863.82</v>
          </cell>
          <cell r="AE459">
            <v>4863.82</v>
          </cell>
          <cell r="AH459">
            <v>6550.16</v>
          </cell>
        </row>
        <row r="460">
          <cell r="J460">
            <v>0</v>
          </cell>
          <cell r="M460">
            <v>0</v>
          </cell>
          <cell r="P460">
            <v>0</v>
          </cell>
          <cell r="S460">
            <v>0</v>
          </cell>
          <cell r="V460">
            <v>0</v>
          </cell>
          <cell r="Y460">
            <v>0</v>
          </cell>
          <cell r="AB460">
            <v>0</v>
          </cell>
          <cell r="AE460">
            <v>0</v>
          </cell>
          <cell r="AH460">
            <v>788.55</v>
          </cell>
        </row>
        <row r="461">
          <cell r="J461">
            <v>1268.5</v>
          </cell>
          <cell r="M461">
            <v>1778.38</v>
          </cell>
          <cell r="P461">
            <v>2287.9</v>
          </cell>
          <cell r="S461">
            <v>3233.89</v>
          </cell>
          <cell r="V461">
            <v>4151.47</v>
          </cell>
          <cell r="Y461">
            <v>4892.8500000000004</v>
          </cell>
          <cell r="AB461">
            <v>6549.09</v>
          </cell>
          <cell r="AE461">
            <v>6799.16</v>
          </cell>
          <cell r="AH461">
            <v>7146.94</v>
          </cell>
        </row>
        <row r="462">
          <cell r="J462">
            <v>573.04582210242586</v>
          </cell>
          <cell r="M462">
            <v>1162.18</v>
          </cell>
          <cell r="P462">
            <v>1776.37</v>
          </cell>
          <cell r="S462">
            <v>1193.4000000000001</v>
          </cell>
          <cell r="V462">
            <v>1592.57</v>
          </cell>
          <cell r="Y462">
            <v>1991.74</v>
          </cell>
          <cell r="AB462">
            <v>1991.74</v>
          </cell>
          <cell r="AE462">
            <v>2390.9299999999998</v>
          </cell>
          <cell r="AH462">
            <v>3035.7700000000004</v>
          </cell>
        </row>
        <row r="463">
          <cell r="J463">
            <v>0</v>
          </cell>
          <cell r="M463">
            <v>0</v>
          </cell>
          <cell r="P463">
            <v>0</v>
          </cell>
          <cell r="S463">
            <v>0</v>
          </cell>
          <cell r="V463">
            <v>18.91</v>
          </cell>
          <cell r="Y463">
            <v>18.91</v>
          </cell>
          <cell r="AB463">
            <v>418.08</v>
          </cell>
          <cell r="AE463">
            <v>418.08</v>
          </cell>
          <cell r="AH463">
            <v>486.8</v>
          </cell>
        </row>
        <row r="464">
          <cell r="J464">
            <v>0</v>
          </cell>
          <cell r="M464">
            <v>0</v>
          </cell>
          <cell r="P464">
            <v>1972.7089916690607</v>
          </cell>
          <cell r="S464">
            <v>220.91</v>
          </cell>
          <cell r="V464">
            <v>220.91</v>
          </cell>
          <cell r="Y464">
            <v>220.91</v>
          </cell>
          <cell r="AB464">
            <v>220.91</v>
          </cell>
          <cell r="AE464">
            <v>220.91</v>
          </cell>
          <cell r="AH464">
            <v>2754.83</v>
          </cell>
        </row>
        <row r="465">
          <cell r="J465">
            <v>1486.23</v>
          </cell>
          <cell r="M465">
            <v>1486.23</v>
          </cell>
          <cell r="P465">
            <v>1486.23</v>
          </cell>
          <cell r="S465">
            <v>1486.23</v>
          </cell>
          <cell r="V465">
            <v>1486.23</v>
          </cell>
          <cell r="Y465">
            <v>1486.23</v>
          </cell>
          <cell r="AB465">
            <v>1486.23</v>
          </cell>
          <cell r="AE465">
            <v>1879.37</v>
          </cell>
          <cell r="AH465">
            <v>23980.345555555556</v>
          </cell>
        </row>
        <row r="466">
          <cell r="J466">
            <v>0</v>
          </cell>
          <cell r="M466">
            <v>222.11</v>
          </cell>
          <cell r="P466">
            <v>222.11</v>
          </cell>
          <cell r="S466">
            <v>444.32</v>
          </cell>
          <cell r="V466">
            <v>861.08</v>
          </cell>
          <cell r="Y466">
            <v>861.08</v>
          </cell>
          <cell r="AB466">
            <v>861.08</v>
          </cell>
          <cell r="AE466">
            <v>1282.04</v>
          </cell>
          <cell r="AH466">
            <v>1282.04</v>
          </cell>
        </row>
        <row r="467">
          <cell r="J467">
            <v>0</v>
          </cell>
          <cell r="M467">
            <v>0</v>
          </cell>
          <cell r="P467">
            <v>0</v>
          </cell>
          <cell r="S467">
            <v>1801.77</v>
          </cell>
          <cell r="V467">
            <v>1801.77</v>
          </cell>
          <cell r="Y467">
            <v>1801.77</v>
          </cell>
          <cell r="AB467">
            <v>1801.77</v>
          </cell>
          <cell r="AE467">
            <v>1801.77</v>
          </cell>
          <cell r="AH467">
            <v>137.44999999999999</v>
          </cell>
        </row>
        <row r="468">
          <cell r="J468">
            <v>0</v>
          </cell>
          <cell r="M468">
            <v>0</v>
          </cell>
          <cell r="P468">
            <v>0</v>
          </cell>
          <cell r="S468">
            <v>1357.5</v>
          </cell>
          <cell r="V468">
            <v>1357</v>
          </cell>
          <cell r="Y468">
            <v>1357</v>
          </cell>
          <cell r="AB468">
            <v>1357</v>
          </cell>
          <cell r="AE468">
            <v>1357</v>
          </cell>
          <cell r="AH468">
            <v>1357</v>
          </cell>
        </row>
        <row r="469">
          <cell r="J469">
            <v>0</v>
          </cell>
          <cell r="M469">
            <v>0</v>
          </cell>
          <cell r="P469">
            <v>-23.84</v>
          </cell>
          <cell r="S469">
            <v>0.66</v>
          </cell>
          <cell r="V469">
            <v>91.36</v>
          </cell>
          <cell r="Y469">
            <v>-15.23</v>
          </cell>
          <cell r="AB469">
            <v>60.54</v>
          </cell>
          <cell r="AE469">
            <v>189</v>
          </cell>
          <cell r="AH469">
            <v>290.66000000000003</v>
          </cell>
        </row>
        <row r="470">
          <cell r="J470">
            <v>0</v>
          </cell>
          <cell r="M470">
            <v>0</v>
          </cell>
          <cell r="P470">
            <v>0</v>
          </cell>
          <cell r="S470">
            <v>0</v>
          </cell>
          <cell r="V470">
            <v>0</v>
          </cell>
          <cell r="Y470">
            <v>0</v>
          </cell>
          <cell r="AB470">
            <v>0</v>
          </cell>
          <cell r="AE470">
            <v>0</v>
          </cell>
          <cell r="AH470">
            <v>807.12</v>
          </cell>
        </row>
        <row r="471">
          <cell r="J471">
            <v>0</v>
          </cell>
          <cell r="M471">
            <v>0</v>
          </cell>
          <cell r="P471">
            <v>0</v>
          </cell>
          <cell r="S471">
            <v>0</v>
          </cell>
          <cell r="V471">
            <v>0</v>
          </cell>
          <cell r="Y471">
            <v>0</v>
          </cell>
          <cell r="AB471">
            <v>0</v>
          </cell>
          <cell r="AE471">
            <v>236</v>
          </cell>
          <cell r="AH471">
            <v>0</v>
          </cell>
        </row>
        <row r="472">
          <cell r="J472">
            <v>0</v>
          </cell>
          <cell r="M472">
            <v>0</v>
          </cell>
          <cell r="P472">
            <v>0</v>
          </cell>
          <cell r="S472">
            <v>0</v>
          </cell>
          <cell r="V472">
            <v>0</v>
          </cell>
          <cell r="Y472">
            <v>0</v>
          </cell>
          <cell r="AB472">
            <v>0</v>
          </cell>
          <cell r="AE472">
            <v>0</v>
          </cell>
          <cell r="AH472">
            <v>208.4</v>
          </cell>
        </row>
        <row r="473">
          <cell r="J473">
            <v>0</v>
          </cell>
          <cell r="M473">
            <v>0</v>
          </cell>
          <cell r="P473">
            <v>0</v>
          </cell>
          <cell r="S473">
            <v>0</v>
          </cell>
          <cell r="V473">
            <v>0</v>
          </cell>
          <cell r="Y473">
            <v>0</v>
          </cell>
          <cell r="AB473">
            <v>0</v>
          </cell>
          <cell r="AE473">
            <v>0</v>
          </cell>
          <cell r="AH473">
            <v>236</v>
          </cell>
        </row>
        <row r="474">
          <cell r="J474">
            <v>0</v>
          </cell>
          <cell r="M474">
            <v>0</v>
          </cell>
          <cell r="P474">
            <v>0</v>
          </cell>
          <cell r="S474">
            <v>0</v>
          </cell>
          <cell r="V474">
            <v>0</v>
          </cell>
          <cell r="Y474">
            <v>0</v>
          </cell>
          <cell r="AB474">
            <v>0</v>
          </cell>
          <cell r="AE474">
            <v>0</v>
          </cell>
          <cell r="AH474">
            <v>269.39999999999998</v>
          </cell>
        </row>
        <row r="475">
          <cell r="J475">
            <v>8665.77</v>
          </cell>
          <cell r="M475">
            <v>17693.939999999999</v>
          </cell>
          <cell r="P475">
            <v>29200.99</v>
          </cell>
          <cell r="S475">
            <v>40982.44</v>
          </cell>
          <cell r="V475">
            <v>54823.29</v>
          </cell>
          <cell r="Y475">
            <v>66442.63</v>
          </cell>
          <cell r="AB475">
            <v>103942.92</v>
          </cell>
          <cell r="AE475">
            <v>115035.11</v>
          </cell>
          <cell r="AH475">
            <v>125748.47</v>
          </cell>
        </row>
        <row r="476">
          <cell r="J476">
            <v>481.4</v>
          </cell>
          <cell r="M476">
            <v>983.06</v>
          </cell>
          <cell r="P476">
            <v>1596.96</v>
          </cell>
          <cell r="S476">
            <v>2285.91</v>
          </cell>
          <cell r="V476">
            <v>3063.91</v>
          </cell>
          <cell r="Y476">
            <v>3736.24</v>
          </cell>
          <cell r="AB476">
            <v>5680.85</v>
          </cell>
          <cell r="AE476">
            <v>6332.34</v>
          </cell>
          <cell r="AH476">
            <v>6967.58</v>
          </cell>
        </row>
        <row r="477">
          <cell r="J477">
            <v>637.47</v>
          </cell>
          <cell r="M477">
            <v>1290.42</v>
          </cell>
          <cell r="P477">
            <v>1969.82</v>
          </cell>
          <cell r="S477">
            <v>2666.43</v>
          </cell>
          <cell r="V477">
            <v>3354.53</v>
          </cell>
          <cell r="Y477">
            <v>4047.06</v>
          </cell>
          <cell r="AB477">
            <v>4736.5600000000004</v>
          </cell>
          <cell r="AE477">
            <v>5401.26</v>
          </cell>
          <cell r="AH477">
            <v>6038.38</v>
          </cell>
        </row>
        <row r="478">
          <cell r="J478">
            <v>1308.0899999999999</v>
          </cell>
          <cell r="M478">
            <v>2629.46</v>
          </cell>
          <cell r="P478">
            <v>4013.55</v>
          </cell>
          <cell r="S478">
            <v>5548.17</v>
          </cell>
          <cell r="V478">
            <v>7159.46</v>
          </cell>
          <cell r="Y478">
            <v>8733.11</v>
          </cell>
          <cell r="AB478">
            <v>10299.870000000001</v>
          </cell>
          <cell r="AE478">
            <v>11810.27</v>
          </cell>
          <cell r="AH478">
            <v>13258.01</v>
          </cell>
        </row>
        <row r="479">
          <cell r="J479">
            <v>0</v>
          </cell>
          <cell r="M479">
            <v>0</v>
          </cell>
          <cell r="P479">
            <v>0</v>
          </cell>
          <cell r="S479">
            <v>221.5</v>
          </cell>
          <cell r="V479">
            <v>221.5</v>
          </cell>
          <cell r="Y479">
            <v>221.5</v>
          </cell>
          <cell r="AB479">
            <v>221.5</v>
          </cell>
          <cell r="AE479">
            <v>221.5</v>
          </cell>
          <cell r="AH479">
            <v>322.79000000000002</v>
          </cell>
        </row>
        <row r="480">
          <cell r="J480">
            <v>40.43</v>
          </cell>
          <cell r="M480">
            <v>81.84</v>
          </cell>
          <cell r="P480">
            <v>124.93</v>
          </cell>
          <cell r="S480">
            <v>169.11</v>
          </cell>
          <cell r="V480">
            <v>212.75</v>
          </cell>
          <cell r="Y480">
            <v>256.67</v>
          </cell>
          <cell r="AB480">
            <v>300.39999999999998</v>
          </cell>
          <cell r="AE480">
            <v>342.56</v>
          </cell>
          <cell r="AH480">
            <v>382.97</v>
          </cell>
        </row>
        <row r="481">
          <cell r="J481">
            <v>340.7</v>
          </cell>
          <cell r="M481">
            <v>689.68</v>
          </cell>
          <cell r="P481">
            <v>1052.79</v>
          </cell>
          <cell r="S481">
            <v>1425.1</v>
          </cell>
          <cell r="V481">
            <v>1792.86</v>
          </cell>
          <cell r="Y481">
            <v>2162.9899999999998</v>
          </cell>
          <cell r="AB481">
            <v>2531.5</v>
          </cell>
          <cell r="AE481">
            <v>2886.76</v>
          </cell>
          <cell r="AH481">
            <v>3227.28</v>
          </cell>
        </row>
        <row r="482">
          <cell r="J482">
            <v>109.43</v>
          </cell>
          <cell r="M482">
            <v>228.15</v>
          </cell>
          <cell r="P482">
            <v>348.23</v>
          </cell>
          <cell r="S482">
            <v>471.35</v>
          </cell>
          <cell r="V482">
            <v>592.97</v>
          </cell>
          <cell r="Y482">
            <v>715.08</v>
          </cell>
          <cell r="AB482">
            <v>836.95</v>
          </cell>
          <cell r="AE482">
            <v>954.43</v>
          </cell>
          <cell r="AH482">
            <v>1067.04</v>
          </cell>
        </row>
        <row r="483">
          <cell r="J483">
            <v>-787.33</v>
          </cell>
          <cell r="M483">
            <v>-1600.42</v>
          </cell>
          <cell r="P483">
            <v>-2442.9899999999998</v>
          </cell>
          <cell r="S483">
            <v>-3528.41</v>
          </cell>
          <cell r="V483">
            <v>-4381.7700000000004</v>
          </cell>
          <cell r="Y483">
            <v>-5240.34</v>
          </cell>
          <cell r="AB483">
            <v>-6095.44</v>
          </cell>
          <cell r="AE483">
            <v>-6919.78</v>
          </cell>
          <cell r="AH483">
            <v>-7811.21</v>
          </cell>
        </row>
        <row r="484">
          <cell r="J484">
            <v>0</v>
          </cell>
          <cell r="M484">
            <v>0</v>
          </cell>
          <cell r="P484">
            <v>0</v>
          </cell>
          <cell r="S484">
            <v>0</v>
          </cell>
          <cell r="V484">
            <v>0</v>
          </cell>
          <cell r="Y484">
            <v>0</v>
          </cell>
          <cell r="AB484">
            <v>26742</v>
          </cell>
          <cell r="AE484">
            <v>26742</v>
          </cell>
          <cell r="AH484">
            <v>26742</v>
          </cell>
        </row>
        <row r="485">
          <cell r="J485">
            <v>343.75</v>
          </cell>
          <cell r="M485">
            <v>1421.71</v>
          </cell>
          <cell r="P485">
            <v>2156.34</v>
          </cell>
          <cell r="S485">
            <v>2639.98</v>
          </cell>
          <cell r="V485">
            <v>3181.49</v>
          </cell>
          <cell r="Y485">
            <v>4261.83</v>
          </cell>
          <cell r="AB485">
            <v>4913.2299999999996</v>
          </cell>
          <cell r="AE485">
            <v>5452.43</v>
          </cell>
          <cell r="AH485">
            <v>6390.11</v>
          </cell>
        </row>
        <row r="486">
          <cell r="J486">
            <v>0</v>
          </cell>
          <cell r="M486">
            <v>0</v>
          </cell>
          <cell r="P486">
            <v>0</v>
          </cell>
          <cell r="S486">
            <v>-0.01</v>
          </cell>
          <cell r="V486">
            <v>-0.01</v>
          </cell>
          <cell r="Y486">
            <v>-0.01</v>
          </cell>
          <cell r="AB486">
            <v>-0.01</v>
          </cell>
          <cell r="AE486">
            <v>-0.01</v>
          </cell>
          <cell r="AH486">
            <v>-76.41</v>
          </cell>
        </row>
        <row r="487">
          <cell r="J487">
            <v>4.1100000000000003</v>
          </cell>
          <cell r="M487">
            <v>8.86</v>
          </cell>
          <cell r="P487">
            <v>12.89</v>
          </cell>
          <cell r="S487">
            <v>13.37</v>
          </cell>
          <cell r="V487">
            <v>18.260000000000002</v>
          </cell>
          <cell r="Y487">
            <v>18.260000000000002</v>
          </cell>
          <cell r="AB487">
            <v>26.78</v>
          </cell>
          <cell r="AE487">
            <v>30.97</v>
          </cell>
          <cell r="AH487">
            <v>34.94</v>
          </cell>
        </row>
        <row r="488">
          <cell r="J488">
            <v>0</v>
          </cell>
          <cell r="M488">
            <v>0</v>
          </cell>
          <cell r="P488">
            <v>0</v>
          </cell>
          <cell r="S488">
            <v>0</v>
          </cell>
          <cell r="V488">
            <v>0</v>
          </cell>
          <cell r="Y488">
            <v>426.1</v>
          </cell>
          <cell r="AB488">
            <v>426.1</v>
          </cell>
          <cell r="AE488">
            <v>426.1</v>
          </cell>
          <cell r="AH488">
            <v>426.1</v>
          </cell>
        </row>
        <row r="489">
          <cell r="J489">
            <v>760.1</v>
          </cell>
          <cell r="M489">
            <v>1997.6399999999999</v>
          </cell>
          <cell r="P489">
            <v>9641.27</v>
          </cell>
          <cell r="S489">
            <v>17726.87</v>
          </cell>
          <cell r="V489">
            <v>18233.310000000001</v>
          </cell>
          <cell r="Y489">
            <v>22477.84</v>
          </cell>
          <cell r="AB489">
            <v>23973.27</v>
          </cell>
          <cell r="AE489">
            <v>23186</v>
          </cell>
          <cell r="AH489">
            <v>23265.79</v>
          </cell>
        </row>
        <row r="490">
          <cell r="J490">
            <v>0</v>
          </cell>
          <cell r="M490">
            <v>0</v>
          </cell>
          <cell r="P490">
            <v>0</v>
          </cell>
          <cell r="S490">
            <v>0</v>
          </cell>
          <cell r="V490">
            <v>361.89</v>
          </cell>
          <cell r="Y490">
            <v>361.89</v>
          </cell>
          <cell r="AB490">
            <v>139.47</v>
          </cell>
          <cell r="AE490">
            <v>139.47</v>
          </cell>
          <cell r="AH490">
            <v>139.47</v>
          </cell>
        </row>
        <row r="491">
          <cell r="J491">
            <v>0</v>
          </cell>
          <cell r="M491">
            <v>0</v>
          </cell>
          <cell r="P491">
            <v>0</v>
          </cell>
          <cell r="S491">
            <v>5.81</v>
          </cell>
          <cell r="V491">
            <v>5.81</v>
          </cell>
          <cell r="Y491">
            <v>5.81</v>
          </cell>
          <cell r="AB491">
            <v>24.32</v>
          </cell>
          <cell r="AE491">
            <v>48.09</v>
          </cell>
          <cell r="AH491">
            <v>62.7</v>
          </cell>
        </row>
        <row r="492">
          <cell r="J492">
            <v>0</v>
          </cell>
          <cell r="M492">
            <v>0</v>
          </cell>
          <cell r="P492">
            <v>0</v>
          </cell>
          <cell r="S492">
            <v>10.050000000000001</v>
          </cell>
          <cell r="V492">
            <v>20.82</v>
          </cell>
          <cell r="Y492">
            <v>32.24</v>
          </cell>
          <cell r="AB492">
            <v>32.24</v>
          </cell>
          <cell r="AE492">
            <v>48.43</v>
          </cell>
          <cell r="AH492">
            <v>53.28</v>
          </cell>
        </row>
        <row r="493">
          <cell r="J493">
            <v>0.09</v>
          </cell>
          <cell r="M493">
            <v>15.9</v>
          </cell>
          <cell r="P493">
            <v>16.239999999999998</v>
          </cell>
          <cell r="S493">
            <v>14.31</v>
          </cell>
          <cell r="V493">
            <v>14</v>
          </cell>
          <cell r="Y493">
            <v>14.67</v>
          </cell>
          <cell r="AB493">
            <v>15.65</v>
          </cell>
          <cell r="AE493">
            <v>27.23</v>
          </cell>
          <cell r="AH493">
            <v>10.97</v>
          </cell>
        </row>
        <row r="494">
          <cell r="J494">
            <v>0</v>
          </cell>
          <cell r="M494">
            <v>0</v>
          </cell>
          <cell r="P494">
            <v>19318</v>
          </cell>
          <cell r="S494">
            <v>0</v>
          </cell>
          <cell r="V494">
            <v>17979.5</v>
          </cell>
          <cell r="Y494">
            <v>26742</v>
          </cell>
          <cell r="AB494">
            <v>34056</v>
          </cell>
          <cell r="AE494">
            <v>0</v>
          </cell>
          <cell r="AH494">
            <v>0</v>
          </cell>
        </row>
        <row r="495">
          <cell r="J495">
            <v>0</v>
          </cell>
          <cell r="M495">
            <v>0</v>
          </cell>
          <cell r="P495">
            <v>0</v>
          </cell>
          <cell r="S495">
            <v>0</v>
          </cell>
          <cell r="V495">
            <v>0</v>
          </cell>
          <cell r="Y495">
            <v>0</v>
          </cell>
          <cell r="AB495">
            <v>0</v>
          </cell>
          <cell r="AE495">
            <v>0</v>
          </cell>
          <cell r="AH495">
            <v>0</v>
          </cell>
        </row>
        <row r="496">
          <cell r="J496">
            <v>0</v>
          </cell>
          <cell r="M496">
            <v>0</v>
          </cell>
          <cell r="P496">
            <v>0</v>
          </cell>
          <cell r="S496">
            <v>0</v>
          </cell>
          <cell r="V496">
            <v>0</v>
          </cell>
          <cell r="Y496">
            <v>0</v>
          </cell>
          <cell r="AB496">
            <v>0</v>
          </cell>
          <cell r="AE496">
            <v>485.02</v>
          </cell>
          <cell r="AH496">
            <v>0</v>
          </cell>
        </row>
        <row r="497">
          <cell r="J497">
            <v>0</v>
          </cell>
          <cell r="M497">
            <v>0</v>
          </cell>
          <cell r="P497">
            <v>0</v>
          </cell>
          <cell r="S497">
            <v>0</v>
          </cell>
          <cell r="V497">
            <v>0</v>
          </cell>
          <cell r="Y497">
            <v>0</v>
          </cell>
          <cell r="AB497">
            <v>0</v>
          </cell>
          <cell r="AE497">
            <v>1197.3018549747048</v>
          </cell>
          <cell r="AH497">
            <v>0</v>
          </cell>
        </row>
        <row r="498">
          <cell r="J498">
            <v>0</v>
          </cell>
          <cell r="M498">
            <v>0</v>
          </cell>
          <cell r="P498">
            <v>0</v>
          </cell>
          <cell r="S498">
            <v>0</v>
          </cell>
          <cell r="V498">
            <v>0</v>
          </cell>
          <cell r="Y498">
            <v>0</v>
          </cell>
          <cell r="AB498">
            <v>1960</v>
          </cell>
          <cell r="AE498">
            <v>0</v>
          </cell>
          <cell r="AH498">
            <v>0</v>
          </cell>
        </row>
        <row r="499">
          <cell r="J499">
            <v>0</v>
          </cell>
          <cell r="M499">
            <v>0</v>
          </cell>
          <cell r="P499">
            <v>0</v>
          </cell>
          <cell r="S499">
            <v>0</v>
          </cell>
          <cell r="V499">
            <v>0</v>
          </cell>
          <cell r="Y499">
            <v>0</v>
          </cell>
          <cell r="AB499">
            <v>0</v>
          </cell>
          <cell r="AE499">
            <v>6710</v>
          </cell>
          <cell r="AH499">
            <v>0</v>
          </cell>
        </row>
        <row r="500">
          <cell r="J500">
            <v>0</v>
          </cell>
          <cell r="M500">
            <v>0</v>
          </cell>
          <cell r="P500">
            <v>0</v>
          </cell>
          <cell r="S500">
            <v>0</v>
          </cell>
          <cell r="V500">
            <v>0</v>
          </cell>
          <cell r="Y500">
            <v>0</v>
          </cell>
          <cell r="AB500">
            <v>0</v>
          </cell>
          <cell r="AE500">
            <v>1124.2270938729623</v>
          </cell>
          <cell r="AH500">
            <v>0</v>
          </cell>
        </row>
        <row r="501">
          <cell r="J501">
            <v>0</v>
          </cell>
          <cell r="M501">
            <v>0</v>
          </cell>
          <cell r="P501">
            <v>0</v>
          </cell>
          <cell r="S501">
            <v>0</v>
          </cell>
          <cell r="V501">
            <v>-2715</v>
          </cell>
          <cell r="Y501">
            <v>-2715</v>
          </cell>
          <cell r="AB501">
            <v>0</v>
          </cell>
          <cell r="AE501">
            <v>0</v>
          </cell>
          <cell r="AH501">
            <v>0</v>
          </cell>
        </row>
        <row r="502">
          <cell r="J502">
            <v>0</v>
          </cell>
          <cell r="M502">
            <v>0</v>
          </cell>
          <cell r="P502">
            <v>0</v>
          </cell>
          <cell r="S502">
            <v>0</v>
          </cell>
          <cell r="V502">
            <v>0</v>
          </cell>
          <cell r="Y502">
            <v>0</v>
          </cell>
          <cell r="AB502">
            <v>0</v>
          </cell>
          <cell r="AE502">
            <v>0</v>
          </cell>
          <cell r="AH502">
            <v>20000</v>
          </cell>
        </row>
        <row r="503">
          <cell r="J503">
            <v>0</v>
          </cell>
          <cell r="M503">
            <v>0</v>
          </cell>
          <cell r="P503">
            <v>0</v>
          </cell>
          <cell r="S503">
            <v>0</v>
          </cell>
          <cell r="V503">
            <v>0</v>
          </cell>
          <cell r="Y503">
            <v>0</v>
          </cell>
          <cell r="AB503">
            <v>0</v>
          </cell>
          <cell r="AE503">
            <v>0</v>
          </cell>
          <cell r="AH503">
            <v>0</v>
          </cell>
        </row>
        <row r="504">
          <cell r="J504">
            <v>0</v>
          </cell>
          <cell r="M504">
            <v>0</v>
          </cell>
          <cell r="P504">
            <v>0</v>
          </cell>
          <cell r="S504">
            <v>0</v>
          </cell>
          <cell r="V504">
            <v>0</v>
          </cell>
          <cell r="Y504">
            <v>0</v>
          </cell>
          <cell r="AB504">
            <v>0</v>
          </cell>
          <cell r="AE504">
            <v>0</v>
          </cell>
          <cell r="AH504">
            <v>0</v>
          </cell>
        </row>
        <row r="505">
          <cell r="J505">
            <v>0</v>
          </cell>
          <cell r="M505">
            <v>0</v>
          </cell>
          <cell r="P505">
            <v>0</v>
          </cell>
          <cell r="S505">
            <v>0</v>
          </cell>
          <cell r="V505">
            <v>0</v>
          </cell>
          <cell r="Y505">
            <v>0</v>
          </cell>
          <cell r="AB505">
            <v>0</v>
          </cell>
          <cell r="AE505">
            <v>0</v>
          </cell>
          <cell r="AH505">
            <v>0</v>
          </cell>
        </row>
        <row r="506">
          <cell r="J506">
            <v>0</v>
          </cell>
          <cell r="M506">
            <v>0</v>
          </cell>
          <cell r="P506">
            <v>0</v>
          </cell>
          <cell r="S506">
            <v>0</v>
          </cell>
          <cell r="V506">
            <v>0</v>
          </cell>
          <cell r="Y506">
            <v>0</v>
          </cell>
          <cell r="AB506">
            <v>0</v>
          </cell>
          <cell r="AE506">
            <v>0</v>
          </cell>
          <cell r="AH506">
            <v>0</v>
          </cell>
        </row>
        <row r="507">
          <cell r="J507">
            <v>0</v>
          </cell>
          <cell r="M507">
            <v>0</v>
          </cell>
          <cell r="P507">
            <v>0</v>
          </cell>
          <cell r="S507">
            <v>0</v>
          </cell>
          <cell r="V507">
            <v>0</v>
          </cell>
          <cell r="Y507">
            <v>0</v>
          </cell>
          <cell r="AB507">
            <v>0</v>
          </cell>
          <cell r="AE507">
            <v>0</v>
          </cell>
          <cell r="AH507">
            <v>0</v>
          </cell>
        </row>
        <row r="508">
          <cell r="J508">
            <v>0</v>
          </cell>
          <cell r="M508">
            <v>0</v>
          </cell>
          <cell r="P508">
            <v>0</v>
          </cell>
          <cell r="S508">
            <v>0</v>
          </cell>
          <cell r="V508">
            <v>0</v>
          </cell>
          <cell r="Y508">
            <v>0</v>
          </cell>
          <cell r="AB508">
            <v>0</v>
          </cell>
          <cell r="AE508">
            <v>0</v>
          </cell>
          <cell r="AH508">
            <v>0</v>
          </cell>
        </row>
        <row r="509">
          <cell r="J509">
            <v>0</v>
          </cell>
          <cell r="M509">
            <v>0</v>
          </cell>
          <cell r="P509">
            <v>0</v>
          </cell>
          <cell r="S509">
            <v>0</v>
          </cell>
          <cell r="V509">
            <v>0</v>
          </cell>
          <cell r="Y509">
            <v>0</v>
          </cell>
          <cell r="AB509">
            <v>0</v>
          </cell>
          <cell r="AE509">
            <v>0</v>
          </cell>
          <cell r="AH509">
            <v>0</v>
          </cell>
        </row>
        <row r="510">
          <cell r="J510">
            <v>0</v>
          </cell>
          <cell r="M510">
            <v>0</v>
          </cell>
          <cell r="P510">
            <v>0</v>
          </cell>
          <cell r="S510">
            <v>0</v>
          </cell>
          <cell r="V510">
            <v>0</v>
          </cell>
          <cell r="Y510">
            <v>0</v>
          </cell>
          <cell r="AB510">
            <v>0</v>
          </cell>
          <cell r="AE510">
            <v>0</v>
          </cell>
          <cell r="AH510">
            <v>0</v>
          </cell>
        </row>
        <row r="511">
          <cell r="J511">
            <v>0</v>
          </cell>
          <cell r="M511">
            <v>0</v>
          </cell>
          <cell r="P511">
            <v>0</v>
          </cell>
          <cell r="S511">
            <v>0</v>
          </cell>
          <cell r="V511">
            <v>0</v>
          </cell>
          <cell r="Y511">
            <v>0</v>
          </cell>
          <cell r="AB511">
            <v>0</v>
          </cell>
          <cell r="AE511">
            <v>0</v>
          </cell>
          <cell r="AH511">
            <v>0</v>
          </cell>
        </row>
        <row r="512">
          <cell r="J512">
            <v>0</v>
          </cell>
          <cell r="M512">
            <v>0</v>
          </cell>
          <cell r="P512">
            <v>0</v>
          </cell>
          <cell r="S512">
            <v>0</v>
          </cell>
          <cell r="V512">
            <v>0</v>
          </cell>
          <cell r="Y512">
            <v>0</v>
          </cell>
          <cell r="AB512">
            <v>0</v>
          </cell>
          <cell r="AE512">
            <v>0</v>
          </cell>
          <cell r="AH512">
            <v>0</v>
          </cell>
        </row>
        <row r="513">
          <cell r="J513">
            <v>0</v>
          </cell>
          <cell r="M513">
            <v>0</v>
          </cell>
          <cell r="P513">
            <v>0</v>
          </cell>
          <cell r="S513">
            <v>0</v>
          </cell>
          <cell r="V513">
            <v>0</v>
          </cell>
          <cell r="Y513">
            <v>0</v>
          </cell>
          <cell r="AB513">
            <v>0</v>
          </cell>
          <cell r="AE513">
            <v>0</v>
          </cell>
          <cell r="AH513">
            <v>0</v>
          </cell>
        </row>
        <row r="514">
          <cell r="J514">
            <v>0</v>
          </cell>
          <cell r="M514">
            <v>0</v>
          </cell>
          <cell r="P514">
            <v>0</v>
          </cell>
          <cell r="S514">
            <v>0</v>
          </cell>
          <cell r="V514">
            <v>0</v>
          </cell>
          <cell r="Y514">
            <v>0</v>
          </cell>
          <cell r="AB514">
            <v>0</v>
          </cell>
          <cell r="AE514">
            <v>0</v>
          </cell>
          <cell r="AH514">
            <v>0</v>
          </cell>
        </row>
        <row r="515">
          <cell r="J515">
            <v>0</v>
          </cell>
          <cell r="M515">
            <v>0</v>
          </cell>
          <cell r="P515">
            <v>0</v>
          </cell>
          <cell r="S515">
            <v>0</v>
          </cell>
          <cell r="V515">
            <v>0</v>
          </cell>
          <cell r="Y515">
            <v>0</v>
          </cell>
          <cell r="AB515">
            <v>0</v>
          </cell>
          <cell r="AE515">
            <v>0</v>
          </cell>
          <cell r="AH515">
            <v>0</v>
          </cell>
        </row>
        <row r="516">
          <cell r="J516">
            <v>0</v>
          </cell>
          <cell r="M516">
            <v>0</v>
          </cell>
          <cell r="P516">
            <v>0</v>
          </cell>
          <cell r="S516">
            <v>0</v>
          </cell>
          <cell r="V516">
            <v>0</v>
          </cell>
          <cell r="Y516">
            <v>0</v>
          </cell>
          <cell r="AB516">
            <v>0</v>
          </cell>
          <cell r="AE516">
            <v>0</v>
          </cell>
          <cell r="AH516">
            <v>0</v>
          </cell>
        </row>
        <row r="517">
          <cell r="J517">
            <v>0</v>
          </cell>
          <cell r="M517">
            <v>0</v>
          </cell>
          <cell r="P517">
            <v>0</v>
          </cell>
          <cell r="S517">
            <v>0</v>
          </cell>
          <cell r="V517">
            <v>0</v>
          </cell>
          <cell r="Y517">
            <v>0</v>
          </cell>
          <cell r="AB517">
            <v>0</v>
          </cell>
          <cell r="AE517">
            <v>0</v>
          </cell>
          <cell r="AH517">
            <v>0</v>
          </cell>
        </row>
        <row r="518">
          <cell r="J518">
            <v>0</v>
          </cell>
          <cell r="M518">
            <v>0</v>
          </cell>
          <cell r="P518">
            <v>0</v>
          </cell>
          <cell r="S518">
            <v>0</v>
          </cell>
          <cell r="V518">
            <v>0</v>
          </cell>
          <cell r="Y518">
            <v>0</v>
          </cell>
          <cell r="AB518">
            <v>0</v>
          </cell>
          <cell r="AE518">
            <v>0</v>
          </cell>
          <cell r="AH518">
            <v>0</v>
          </cell>
        </row>
        <row r="519">
          <cell r="J519">
            <v>0</v>
          </cell>
          <cell r="M519">
            <v>0</v>
          </cell>
          <cell r="P519">
            <v>0</v>
          </cell>
          <cell r="S519">
            <v>0</v>
          </cell>
          <cell r="V519">
            <v>0</v>
          </cell>
          <cell r="Y519">
            <v>0</v>
          </cell>
          <cell r="AB519">
            <v>0</v>
          </cell>
          <cell r="AE519">
            <v>0</v>
          </cell>
          <cell r="AH519">
            <v>0</v>
          </cell>
        </row>
        <row r="520">
          <cell r="J520">
            <v>0</v>
          </cell>
          <cell r="M520">
            <v>0</v>
          </cell>
          <cell r="P520">
            <v>0</v>
          </cell>
          <cell r="S520">
            <v>0</v>
          </cell>
          <cell r="V520">
            <v>0</v>
          </cell>
          <cell r="Y520">
            <v>0</v>
          </cell>
          <cell r="AB520">
            <v>0</v>
          </cell>
          <cell r="AE520">
            <v>0</v>
          </cell>
          <cell r="AH520">
            <v>0</v>
          </cell>
        </row>
        <row r="521">
          <cell r="J521">
            <v>0</v>
          </cell>
          <cell r="M521">
            <v>0</v>
          </cell>
          <cell r="P521">
            <v>0</v>
          </cell>
          <cell r="S521">
            <v>0</v>
          </cell>
          <cell r="V521">
            <v>0</v>
          </cell>
          <cell r="Y521">
            <v>0</v>
          </cell>
          <cell r="AB521">
            <v>0</v>
          </cell>
          <cell r="AE521">
            <v>0</v>
          </cell>
          <cell r="AH521">
            <v>0</v>
          </cell>
        </row>
        <row r="522">
          <cell r="J522">
            <v>0</v>
          </cell>
          <cell r="M522">
            <v>0</v>
          </cell>
          <cell r="P522">
            <v>0</v>
          </cell>
          <cell r="S522">
            <v>0</v>
          </cell>
          <cell r="V522">
            <v>0</v>
          </cell>
          <cell r="Y522">
            <v>0</v>
          </cell>
          <cell r="AB522">
            <v>0</v>
          </cell>
          <cell r="AE522">
            <v>0</v>
          </cell>
          <cell r="AH522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9">
          <cell r="A9">
            <v>900001</v>
          </cell>
        </row>
        <row r="10">
          <cell r="A10">
            <v>900001</v>
          </cell>
        </row>
        <row r="11">
          <cell r="A11">
            <v>0</v>
          </cell>
        </row>
        <row r="12">
          <cell r="A12">
            <v>0</v>
          </cell>
        </row>
        <row r="13">
          <cell r="A13">
            <v>0</v>
          </cell>
        </row>
        <row r="14">
          <cell r="A14">
            <v>0</v>
          </cell>
        </row>
        <row r="15">
          <cell r="A15">
            <v>0</v>
          </cell>
        </row>
        <row r="16">
          <cell r="A16">
            <v>0</v>
          </cell>
        </row>
        <row r="17">
          <cell r="A17">
            <v>84</v>
          </cell>
        </row>
        <row r="18">
          <cell r="A18">
            <v>810000</v>
          </cell>
        </row>
        <row r="19">
          <cell r="A19">
            <v>810001</v>
          </cell>
        </row>
        <row r="20">
          <cell r="A20">
            <v>810002</v>
          </cell>
        </row>
        <row r="21">
          <cell r="A21">
            <v>840000</v>
          </cell>
        </row>
        <row r="22">
          <cell r="A22">
            <v>840001</v>
          </cell>
        </row>
        <row r="23">
          <cell r="A23">
            <v>840002</v>
          </cell>
        </row>
        <row r="24">
          <cell r="A24">
            <v>840003</v>
          </cell>
        </row>
        <row r="25">
          <cell r="A25">
            <v>840004</v>
          </cell>
        </row>
        <row r="26">
          <cell r="A26">
            <v>840005</v>
          </cell>
        </row>
        <row r="27">
          <cell r="A27">
            <v>840006</v>
          </cell>
        </row>
        <row r="28">
          <cell r="A28">
            <v>840007</v>
          </cell>
        </row>
        <row r="29">
          <cell r="A29">
            <v>840008</v>
          </cell>
        </row>
        <row r="30">
          <cell r="A30">
            <v>840009</v>
          </cell>
        </row>
        <row r="31">
          <cell r="A31">
            <v>840010</v>
          </cell>
        </row>
        <row r="32">
          <cell r="A32">
            <v>840011</v>
          </cell>
        </row>
        <row r="33">
          <cell r="A33">
            <v>840012</v>
          </cell>
        </row>
        <row r="34">
          <cell r="A34">
            <v>840013</v>
          </cell>
        </row>
        <row r="35">
          <cell r="A35">
            <v>840014</v>
          </cell>
        </row>
        <row r="36">
          <cell r="A36">
            <v>840015</v>
          </cell>
        </row>
        <row r="37">
          <cell r="A37">
            <v>840016</v>
          </cell>
        </row>
        <row r="38">
          <cell r="A38">
            <v>840017</v>
          </cell>
        </row>
        <row r="39">
          <cell r="A39">
            <v>840018</v>
          </cell>
        </row>
        <row r="40">
          <cell r="A40">
            <v>840019</v>
          </cell>
        </row>
        <row r="41">
          <cell r="A41">
            <v>840020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0</v>
          </cell>
        </row>
        <row r="45">
          <cell r="A45">
            <v>0</v>
          </cell>
        </row>
        <row r="46">
          <cell r="A46">
            <v>0</v>
          </cell>
        </row>
        <row r="47">
          <cell r="A47">
            <v>0</v>
          </cell>
        </row>
        <row r="48">
          <cell r="A48">
            <v>0</v>
          </cell>
        </row>
        <row r="49">
          <cell r="A49">
            <v>870000</v>
          </cell>
        </row>
        <row r="50">
          <cell r="A50">
            <v>0</v>
          </cell>
        </row>
        <row r="51">
          <cell r="A51">
            <v>0</v>
          </cell>
        </row>
        <row r="52">
          <cell r="A52">
            <v>0</v>
          </cell>
        </row>
        <row r="53">
          <cell r="A53">
            <v>0</v>
          </cell>
        </row>
        <row r="54">
          <cell r="A54">
            <v>0</v>
          </cell>
        </row>
        <row r="55">
          <cell r="A55">
            <v>880000</v>
          </cell>
        </row>
        <row r="56">
          <cell r="A56">
            <v>0</v>
          </cell>
        </row>
        <row r="57">
          <cell r="A57">
            <v>0</v>
          </cell>
        </row>
        <row r="58">
          <cell r="A58">
            <v>0</v>
          </cell>
        </row>
        <row r="59">
          <cell r="A59">
            <v>0</v>
          </cell>
        </row>
        <row r="60">
          <cell r="A60">
            <v>0</v>
          </cell>
        </row>
        <row r="61">
          <cell r="A61">
            <v>0</v>
          </cell>
        </row>
        <row r="62">
          <cell r="A62">
            <v>890001</v>
          </cell>
        </row>
        <row r="63">
          <cell r="A63">
            <v>0</v>
          </cell>
        </row>
        <row r="64">
          <cell r="A64">
            <v>0</v>
          </cell>
        </row>
        <row r="65">
          <cell r="A65">
            <v>0</v>
          </cell>
        </row>
        <row r="66">
          <cell r="A66">
            <v>0</v>
          </cell>
        </row>
        <row r="67">
          <cell r="A67">
            <v>0</v>
          </cell>
        </row>
        <row r="68">
          <cell r="A68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JE"/>
      <sheetName val="Sheet1"/>
      <sheetName val="general ledger"/>
      <sheetName val="Ruling"/>
      <sheetName val="Summary "/>
      <sheetName val="Summary Old Budget"/>
      <sheetName val="P&amp;L"/>
      <sheetName val="BS"/>
      <sheetName val="CF"/>
      <sheetName val="BBS"/>
      <sheetName val="BP&amp;L"/>
      <sheetName val="8.10"/>
      <sheetName val="Sep Ltd"/>
      <sheetName val="TB 10.10"/>
      <sheetName val="מ.ב 11.10"/>
      <sheetName val="TB 12.10"/>
      <sheetName val="BCF"/>
      <sheetName val="TB 1.11"/>
      <sheetName val="Burn Rate"/>
      <sheetName val="TB 2.11"/>
      <sheetName val="TB 3.11"/>
      <sheetName val="Sheet2"/>
      <sheetName val="TB 4.11"/>
      <sheetName val="Sheet3"/>
      <sheetName val="5.11 TB"/>
      <sheetName val="TB 6.11"/>
      <sheetName val="Sheet4"/>
      <sheetName val="TB 7.11"/>
      <sheetName val="Sheet5"/>
      <sheetName val="TB 8.11"/>
      <sheetName val="R&amp;D"/>
    </sheetNames>
    <sheetDataSet>
      <sheetData sheetId="0" refreshError="1"/>
      <sheetData sheetId="1" refreshError="1"/>
      <sheetData sheetId="2" refreshError="1"/>
      <sheetData sheetId="3" refreshError="1">
        <row r="4">
          <cell r="F4">
            <v>82</v>
          </cell>
        </row>
        <row r="5">
          <cell r="F5" t="e">
            <v>#N/A</v>
          </cell>
        </row>
        <row r="6">
          <cell r="F6">
            <v>84</v>
          </cell>
        </row>
        <row r="7">
          <cell r="F7" t="e">
            <v>#N/A</v>
          </cell>
        </row>
        <row r="8">
          <cell r="F8" t="e">
            <v>#N/A</v>
          </cell>
        </row>
        <row r="9">
          <cell r="F9">
            <v>8401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100000</v>
          </cell>
        </row>
        <row r="13">
          <cell r="F13">
            <v>100000</v>
          </cell>
        </row>
        <row r="14">
          <cell r="F14">
            <v>100000</v>
          </cell>
        </row>
        <row r="15">
          <cell r="F15">
            <v>100000</v>
          </cell>
        </row>
        <row r="16">
          <cell r="F16">
            <v>100000</v>
          </cell>
        </row>
        <row r="17">
          <cell r="F17">
            <v>100000</v>
          </cell>
        </row>
        <row r="18">
          <cell r="F18">
            <v>100000</v>
          </cell>
        </row>
        <row r="19">
          <cell r="F19">
            <v>520000</v>
          </cell>
        </row>
        <row r="20">
          <cell r="F20">
            <v>520000</v>
          </cell>
        </row>
        <row r="21">
          <cell r="F21">
            <v>130000</v>
          </cell>
        </row>
        <row r="22">
          <cell r="F22">
            <v>130000</v>
          </cell>
        </row>
        <row r="23">
          <cell r="F23">
            <v>130000</v>
          </cell>
        </row>
        <row r="24">
          <cell r="F24">
            <v>840020</v>
          </cell>
        </row>
        <row r="25">
          <cell r="F25">
            <v>450000</v>
          </cell>
        </row>
        <row r="26">
          <cell r="F26">
            <v>450000</v>
          </cell>
        </row>
        <row r="27">
          <cell r="F27">
            <v>450000</v>
          </cell>
        </row>
        <row r="28">
          <cell r="F28">
            <v>450000</v>
          </cell>
        </row>
        <row r="29">
          <cell r="F29">
            <v>450000</v>
          </cell>
        </row>
        <row r="30">
          <cell r="F30">
            <v>450000</v>
          </cell>
        </row>
        <row r="31">
          <cell r="F31">
            <v>450000</v>
          </cell>
        </row>
        <row r="32">
          <cell r="F32">
            <v>450000</v>
          </cell>
        </row>
        <row r="33">
          <cell r="F33">
            <v>300001</v>
          </cell>
        </row>
        <row r="34">
          <cell r="F34">
            <v>300002</v>
          </cell>
        </row>
        <row r="35">
          <cell r="F35">
            <v>300000</v>
          </cell>
        </row>
        <row r="36">
          <cell r="F36">
            <v>300001</v>
          </cell>
        </row>
        <row r="37">
          <cell r="F37">
            <v>300006</v>
          </cell>
        </row>
        <row r="38">
          <cell r="F38">
            <v>310</v>
          </cell>
        </row>
        <row r="39">
          <cell r="F39">
            <v>310</v>
          </cell>
        </row>
        <row r="40">
          <cell r="F40">
            <v>310</v>
          </cell>
        </row>
        <row r="41">
          <cell r="F41">
            <v>310</v>
          </cell>
        </row>
        <row r="42">
          <cell r="F42">
            <v>310</v>
          </cell>
        </row>
        <row r="43">
          <cell r="F43">
            <v>520000</v>
          </cell>
        </row>
        <row r="44">
          <cell r="F44">
            <v>520000</v>
          </cell>
        </row>
        <row r="45">
          <cell r="F45">
            <v>520000</v>
          </cell>
        </row>
        <row r="46">
          <cell r="F46">
            <v>520000</v>
          </cell>
        </row>
        <row r="47">
          <cell r="F47">
            <v>520000</v>
          </cell>
        </row>
        <row r="48">
          <cell r="F48">
            <v>520000</v>
          </cell>
        </row>
        <row r="49">
          <cell r="F49">
            <v>520000</v>
          </cell>
        </row>
        <row r="50">
          <cell r="F50">
            <v>520000</v>
          </cell>
        </row>
        <row r="51">
          <cell r="F51">
            <v>520000</v>
          </cell>
        </row>
        <row r="52">
          <cell r="F52">
            <v>520000</v>
          </cell>
        </row>
        <row r="53">
          <cell r="F53">
            <v>520000</v>
          </cell>
        </row>
        <row r="54">
          <cell r="F54">
            <v>520000</v>
          </cell>
        </row>
        <row r="55">
          <cell r="F55">
            <v>520000</v>
          </cell>
        </row>
        <row r="56">
          <cell r="F56">
            <v>520000</v>
          </cell>
        </row>
        <row r="57">
          <cell r="F57">
            <v>520000</v>
          </cell>
        </row>
        <row r="58">
          <cell r="F58">
            <v>520000</v>
          </cell>
        </row>
        <row r="59">
          <cell r="F59">
            <v>550000</v>
          </cell>
        </row>
        <row r="60">
          <cell r="F60">
            <v>520000</v>
          </cell>
        </row>
        <row r="61">
          <cell r="F61">
            <v>520000</v>
          </cell>
        </row>
        <row r="62">
          <cell r="F62">
            <v>520000</v>
          </cell>
        </row>
        <row r="63">
          <cell r="F63">
            <v>520000</v>
          </cell>
        </row>
        <row r="64">
          <cell r="F64">
            <v>520000</v>
          </cell>
        </row>
        <row r="65">
          <cell r="F65">
            <v>520000</v>
          </cell>
        </row>
        <row r="66">
          <cell r="F66">
            <v>520000</v>
          </cell>
        </row>
        <row r="67">
          <cell r="F67">
            <v>520000</v>
          </cell>
        </row>
        <row r="68">
          <cell r="F68">
            <v>520000</v>
          </cell>
        </row>
        <row r="69">
          <cell r="F69">
            <v>520000</v>
          </cell>
        </row>
        <row r="70">
          <cell r="F70">
            <v>520000</v>
          </cell>
        </row>
        <row r="71">
          <cell r="F71">
            <v>520000</v>
          </cell>
        </row>
        <row r="72">
          <cell r="F72">
            <v>520000</v>
          </cell>
        </row>
        <row r="73">
          <cell r="F73">
            <v>520000</v>
          </cell>
        </row>
        <row r="74">
          <cell r="F74">
            <v>520000</v>
          </cell>
        </row>
        <row r="75">
          <cell r="F75">
            <v>520000</v>
          </cell>
        </row>
        <row r="76">
          <cell r="F76">
            <v>520000</v>
          </cell>
        </row>
        <row r="77">
          <cell r="F77">
            <v>520000</v>
          </cell>
        </row>
        <row r="78">
          <cell r="F78">
            <v>520000</v>
          </cell>
        </row>
        <row r="79">
          <cell r="F79">
            <v>520000</v>
          </cell>
        </row>
        <row r="80">
          <cell r="F80">
            <v>520000</v>
          </cell>
        </row>
        <row r="81">
          <cell r="F81">
            <v>520000</v>
          </cell>
        </row>
        <row r="82">
          <cell r="F82">
            <v>520000</v>
          </cell>
        </row>
        <row r="83">
          <cell r="F83">
            <v>520000</v>
          </cell>
        </row>
        <row r="84">
          <cell r="F84">
            <v>520000</v>
          </cell>
        </row>
        <row r="85">
          <cell r="F85">
            <v>520000</v>
          </cell>
        </row>
        <row r="86">
          <cell r="F86">
            <v>520000</v>
          </cell>
        </row>
        <row r="87">
          <cell r="F87">
            <v>520000</v>
          </cell>
        </row>
        <row r="88">
          <cell r="F88">
            <v>520000</v>
          </cell>
        </row>
        <row r="89">
          <cell r="F89">
            <v>520000</v>
          </cell>
        </row>
        <row r="90">
          <cell r="F90">
            <v>520000</v>
          </cell>
        </row>
        <row r="91">
          <cell r="F91">
            <v>520000</v>
          </cell>
        </row>
        <row r="92">
          <cell r="F92">
            <v>520000</v>
          </cell>
        </row>
        <row r="93">
          <cell r="F93">
            <v>520000</v>
          </cell>
        </row>
        <row r="94">
          <cell r="F94">
            <v>520000</v>
          </cell>
        </row>
        <row r="95">
          <cell r="F95">
            <v>520000</v>
          </cell>
        </row>
        <row r="96">
          <cell r="F96">
            <v>520000</v>
          </cell>
        </row>
        <row r="97">
          <cell r="F97">
            <v>520000</v>
          </cell>
        </row>
        <row r="98">
          <cell r="F98">
            <v>520000</v>
          </cell>
        </row>
        <row r="99">
          <cell r="F99">
            <v>520000</v>
          </cell>
        </row>
        <row r="100">
          <cell r="F100">
            <v>520000</v>
          </cell>
        </row>
        <row r="101">
          <cell r="F101">
            <v>520000</v>
          </cell>
        </row>
        <row r="102">
          <cell r="F102">
            <v>520000</v>
          </cell>
        </row>
        <row r="103">
          <cell r="F103">
            <v>520000</v>
          </cell>
        </row>
        <row r="104">
          <cell r="F104">
            <v>520000</v>
          </cell>
        </row>
        <row r="105">
          <cell r="F105">
            <v>520000</v>
          </cell>
        </row>
        <row r="106">
          <cell r="F106">
            <v>520000</v>
          </cell>
        </row>
        <row r="107">
          <cell r="F107">
            <v>520000</v>
          </cell>
        </row>
        <row r="108">
          <cell r="F108">
            <v>520000</v>
          </cell>
        </row>
        <row r="109">
          <cell r="F109">
            <v>520000</v>
          </cell>
        </row>
        <row r="110">
          <cell r="F110">
            <v>520000</v>
          </cell>
        </row>
        <row r="111">
          <cell r="F111">
            <v>520000</v>
          </cell>
        </row>
        <row r="112">
          <cell r="F112">
            <v>520000</v>
          </cell>
        </row>
        <row r="113">
          <cell r="F113">
            <v>520000</v>
          </cell>
        </row>
        <row r="114">
          <cell r="F114">
            <v>520000</v>
          </cell>
        </row>
        <row r="115">
          <cell r="F115">
            <v>520000</v>
          </cell>
        </row>
        <row r="116">
          <cell r="F116">
            <v>520000</v>
          </cell>
        </row>
        <row r="117">
          <cell r="F117">
            <v>520000</v>
          </cell>
        </row>
        <row r="118">
          <cell r="F118">
            <v>520000</v>
          </cell>
        </row>
        <row r="119">
          <cell r="F119">
            <v>520000</v>
          </cell>
        </row>
        <row r="120">
          <cell r="F120">
            <v>520000</v>
          </cell>
        </row>
        <row r="121">
          <cell r="F121">
            <v>520000</v>
          </cell>
        </row>
        <row r="122">
          <cell r="F122">
            <v>520000</v>
          </cell>
        </row>
        <row r="123">
          <cell r="F123">
            <v>520000</v>
          </cell>
        </row>
        <row r="124">
          <cell r="F124">
            <v>520000</v>
          </cell>
        </row>
        <row r="125">
          <cell r="F125">
            <v>520000</v>
          </cell>
        </row>
        <row r="126">
          <cell r="F126">
            <v>520000</v>
          </cell>
        </row>
        <row r="127">
          <cell r="F127">
            <v>520000</v>
          </cell>
        </row>
        <row r="128">
          <cell r="F128">
            <v>520000</v>
          </cell>
        </row>
        <row r="129">
          <cell r="F129">
            <v>520000</v>
          </cell>
        </row>
        <row r="130">
          <cell r="F130">
            <v>520000</v>
          </cell>
        </row>
        <row r="131">
          <cell r="F131">
            <v>520000</v>
          </cell>
        </row>
        <row r="132">
          <cell r="F132">
            <v>520000</v>
          </cell>
        </row>
        <row r="133">
          <cell r="F133">
            <v>520000</v>
          </cell>
        </row>
        <row r="134">
          <cell r="F134">
            <v>520000</v>
          </cell>
        </row>
        <row r="135">
          <cell r="F135">
            <v>520000</v>
          </cell>
        </row>
        <row r="136">
          <cell r="F136">
            <v>520000</v>
          </cell>
        </row>
        <row r="137">
          <cell r="F137">
            <v>520000</v>
          </cell>
        </row>
        <row r="138">
          <cell r="F138">
            <v>520000</v>
          </cell>
        </row>
        <row r="139">
          <cell r="F139">
            <v>520000</v>
          </cell>
        </row>
        <row r="140">
          <cell r="F140">
            <v>520000</v>
          </cell>
        </row>
        <row r="141">
          <cell r="F141">
            <v>520000</v>
          </cell>
        </row>
        <row r="142">
          <cell r="F142">
            <v>520000</v>
          </cell>
        </row>
        <row r="143">
          <cell r="F143">
            <v>520000</v>
          </cell>
        </row>
        <row r="144">
          <cell r="F144">
            <v>520000</v>
          </cell>
        </row>
        <row r="145">
          <cell r="F145">
            <v>520000</v>
          </cell>
        </row>
        <row r="146">
          <cell r="F146">
            <v>520000</v>
          </cell>
        </row>
        <row r="147">
          <cell r="F147">
            <v>520000</v>
          </cell>
        </row>
        <row r="148">
          <cell r="F148">
            <v>520000</v>
          </cell>
        </row>
        <row r="149">
          <cell r="F149">
            <v>520000</v>
          </cell>
        </row>
        <row r="150">
          <cell r="F150">
            <v>520000</v>
          </cell>
        </row>
        <row r="151">
          <cell r="F151">
            <v>520000</v>
          </cell>
        </row>
        <row r="152">
          <cell r="F152">
            <v>520000</v>
          </cell>
        </row>
        <row r="153">
          <cell r="F153">
            <v>520000</v>
          </cell>
        </row>
        <row r="154">
          <cell r="F154">
            <v>520000</v>
          </cell>
        </row>
        <row r="155">
          <cell r="F155">
            <v>520000</v>
          </cell>
        </row>
        <row r="156">
          <cell r="F156">
            <v>520000</v>
          </cell>
        </row>
        <row r="157">
          <cell r="F157">
            <v>520000</v>
          </cell>
        </row>
        <row r="158">
          <cell r="F158">
            <v>520000</v>
          </cell>
        </row>
        <row r="159">
          <cell r="F159">
            <v>520000</v>
          </cell>
        </row>
        <row r="160">
          <cell r="F160">
            <v>520000</v>
          </cell>
        </row>
        <row r="161">
          <cell r="F161">
            <v>520000</v>
          </cell>
        </row>
        <row r="162">
          <cell r="F162">
            <v>520000</v>
          </cell>
        </row>
        <row r="163">
          <cell r="F163">
            <v>520000</v>
          </cell>
        </row>
        <row r="164">
          <cell r="F164">
            <v>520000</v>
          </cell>
        </row>
        <row r="165">
          <cell r="F165">
            <v>520000</v>
          </cell>
        </row>
        <row r="166">
          <cell r="F166">
            <v>520000</v>
          </cell>
        </row>
        <row r="167">
          <cell r="F167">
            <v>520000</v>
          </cell>
        </row>
        <row r="168">
          <cell r="F168">
            <v>520000</v>
          </cell>
        </row>
        <row r="169">
          <cell r="F169">
            <v>520000</v>
          </cell>
        </row>
        <row r="170">
          <cell r="F170">
            <v>520000</v>
          </cell>
        </row>
        <row r="171">
          <cell r="F171">
            <v>520000</v>
          </cell>
        </row>
        <row r="172">
          <cell r="F172">
            <v>520000</v>
          </cell>
        </row>
        <row r="173">
          <cell r="F173">
            <v>520000</v>
          </cell>
        </row>
        <row r="174">
          <cell r="F174">
            <v>520000</v>
          </cell>
        </row>
        <row r="175">
          <cell r="F175">
            <v>520000</v>
          </cell>
        </row>
        <row r="176">
          <cell r="F176">
            <v>520000</v>
          </cell>
        </row>
        <row r="177">
          <cell r="F177">
            <v>520000</v>
          </cell>
        </row>
        <row r="178">
          <cell r="F178">
            <v>520000</v>
          </cell>
        </row>
        <row r="179">
          <cell r="F179">
            <v>520000</v>
          </cell>
        </row>
        <row r="180">
          <cell r="F180">
            <v>520000</v>
          </cell>
        </row>
        <row r="181">
          <cell r="F181">
            <v>520000</v>
          </cell>
        </row>
        <row r="182">
          <cell r="F182">
            <v>520000</v>
          </cell>
        </row>
        <row r="183">
          <cell r="F183">
            <v>520000</v>
          </cell>
        </row>
        <row r="184">
          <cell r="F184">
            <v>520000</v>
          </cell>
        </row>
        <row r="185">
          <cell r="F185">
            <v>520000</v>
          </cell>
        </row>
        <row r="186">
          <cell r="F186">
            <v>520000</v>
          </cell>
        </row>
        <row r="187">
          <cell r="F187">
            <v>520000</v>
          </cell>
        </row>
        <row r="188">
          <cell r="F188">
            <v>520000</v>
          </cell>
        </row>
        <row r="189">
          <cell r="F189">
            <v>520000</v>
          </cell>
        </row>
        <row r="190">
          <cell r="F190">
            <v>520000</v>
          </cell>
        </row>
        <row r="191">
          <cell r="F191">
            <v>520000</v>
          </cell>
        </row>
        <row r="192">
          <cell r="F192">
            <v>520000</v>
          </cell>
        </row>
        <row r="193">
          <cell r="F193">
            <v>520000</v>
          </cell>
        </row>
        <row r="194">
          <cell r="F194">
            <v>520000</v>
          </cell>
        </row>
        <row r="195">
          <cell r="F195">
            <v>520000</v>
          </cell>
        </row>
        <row r="196">
          <cell r="F196">
            <v>520000</v>
          </cell>
        </row>
        <row r="197">
          <cell r="F197">
            <v>520000</v>
          </cell>
        </row>
        <row r="198">
          <cell r="F198">
            <v>520000</v>
          </cell>
        </row>
        <row r="199">
          <cell r="F199">
            <v>520000</v>
          </cell>
        </row>
        <row r="200">
          <cell r="F200">
            <v>520000</v>
          </cell>
        </row>
        <row r="201">
          <cell r="F201">
            <v>520000</v>
          </cell>
        </row>
        <row r="202">
          <cell r="F202">
            <v>520000</v>
          </cell>
        </row>
        <row r="203">
          <cell r="F203">
            <v>520000</v>
          </cell>
        </row>
        <row r="204">
          <cell r="F204">
            <v>520000</v>
          </cell>
        </row>
        <row r="205">
          <cell r="F205">
            <v>520000</v>
          </cell>
        </row>
        <row r="206">
          <cell r="F206">
            <v>520000</v>
          </cell>
        </row>
        <row r="207">
          <cell r="F207">
            <v>520000</v>
          </cell>
        </row>
        <row r="208">
          <cell r="F208">
            <v>520000</v>
          </cell>
        </row>
        <row r="209">
          <cell r="F209">
            <v>520000</v>
          </cell>
        </row>
        <row r="210">
          <cell r="F210">
            <v>520000</v>
          </cell>
        </row>
        <row r="211">
          <cell r="F211">
            <v>520000</v>
          </cell>
        </row>
        <row r="212">
          <cell r="F212">
            <v>520000</v>
          </cell>
        </row>
        <row r="213">
          <cell r="F213">
            <v>520000</v>
          </cell>
        </row>
        <row r="214">
          <cell r="F214">
            <v>520000</v>
          </cell>
        </row>
        <row r="215">
          <cell r="F215">
            <v>520000</v>
          </cell>
        </row>
        <row r="216">
          <cell r="F216">
            <v>520000</v>
          </cell>
        </row>
        <row r="217">
          <cell r="F217">
            <v>520000</v>
          </cell>
        </row>
        <row r="218">
          <cell r="F218">
            <v>130000</v>
          </cell>
        </row>
        <row r="219">
          <cell r="F219">
            <v>130000</v>
          </cell>
        </row>
        <row r="220">
          <cell r="F220">
            <v>130000</v>
          </cell>
        </row>
        <row r="221">
          <cell r="F221">
            <v>130000</v>
          </cell>
        </row>
        <row r="222">
          <cell r="F222">
            <v>130000</v>
          </cell>
        </row>
        <row r="223">
          <cell r="F223">
            <v>130000</v>
          </cell>
        </row>
        <row r="224">
          <cell r="F224">
            <v>550000</v>
          </cell>
        </row>
        <row r="225">
          <cell r="F225">
            <v>550000</v>
          </cell>
        </row>
        <row r="226">
          <cell r="F226">
            <v>130000</v>
          </cell>
        </row>
        <row r="227">
          <cell r="F227">
            <v>130000</v>
          </cell>
        </row>
        <row r="228">
          <cell r="F228">
            <v>130000</v>
          </cell>
        </row>
        <row r="229">
          <cell r="F229">
            <v>130000</v>
          </cell>
        </row>
        <row r="230">
          <cell r="F230">
            <v>130000</v>
          </cell>
        </row>
        <row r="231">
          <cell r="F231">
            <v>130000</v>
          </cell>
        </row>
        <row r="232">
          <cell r="F232">
            <v>130000</v>
          </cell>
        </row>
        <row r="233">
          <cell r="F233">
            <v>540000</v>
          </cell>
        </row>
        <row r="234">
          <cell r="F234">
            <v>540000</v>
          </cell>
        </row>
        <row r="235">
          <cell r="F235">
            <v>540000</v>
          </cell>
        </row>
        <row r="236">
          <cell r="F236">
            <v>540000</v>
          </cell>
        </row>
        <row r="237">
          <cell r="F237">
            <v>540000</v>
          </cell>
        </row>
        <row r="238">
          <cell r="F238">
            <v>540000</v>
          </cell>
        </row>
        <row r="239">
          <cell r="F239">
            <v>540000</v>
          </cell>
        </row>
        <row r="240">
          <cell r="F240">
            <v>540000</v>
          </cell>
        </row>
        <row r="241">
          <cell r="F241">
            <v>540000</v>
          </cell>
        </row>
        <row r="242">
          <cell r="F242">
            <v>540000</v>
          </cell>
        </row>
        <row r="243">
          <cell r="F243">
            <v>540000</v>
          </cell>
        </row>
        <row r="244">
          <cell r="F244">
            <v>540000</v>
          </cell>
        </row>
        <row r="245">
          <cell r="F245">
            <v>540000</v>
          </cell>
        </row>
        <row r="246">
          <cell r="F246">
            <v>540000</v>
          </cell>
        </row>
        <row r="247">
          <cell r="F247">
            <v>540000</v>
          </cell>
        </row>
        <row r="248">
          <cell r="F248">
            <v>540000</v>
          </cell>
        </row>
        <row r="249">
          <cell r="F249">
            <v>540000</v>
          </cell>
        </row>
        <row r="250">
          <cell r="F250">
            <v>540000</v>
          </cell>
        </row>
        <row r="251">
          <cell r="F251">
            <v>540000</v>
          </cell>
        </row>
        <row r="252">
          <cell r="F252">
            <v>540000</v>
          </cell>
        </row>
        <row r="253">
          <cell r="F253">
            <v>540000</v>
          </cell>
        </row>
        <row r="254">
          <cell r="F254">
            <v>540000</v>
          </cell>
        </row>
        <row r="255">
          <cell r="F255">
            <v>540000</v>
          </cell>
        </row>
        <row r="256">
          <cell r="F256">
            <v>540000</v>
          </cell>
        </row>
        <row r="257">
          <cell r="F257">
            <v>540000</v>
          </cell>
        </row>
        <row r="258">
          <cell r="F258">
            <v>560000</v>
          </cell>
        </row>
        <row r="259">
          <cell r="F259">
            <v>560000</v>
          </cell>
        </row>
        <row r="260">
          <cell r="F260">
            <v>520000</v>
          </cell>
        </row>
        <row r="261">
          <cell r="F261">
            <v>720000</v>
          </cell>
        </row>
        <row r="262">
          <cell r="F262">
            <v>720000</v>
          </cell>
        </row>
        <row r="263">
          <cell r="F263">
            <v>720000</v>
          </cell>
        </row>
        <row r="264">
          <cell r="F264">
            <v>725000</v>
          </cell>
        </row>
        <row r="265">
          <cell r="F265">
            <v>725000</v>
          </cell>
        </row>
        <row r="266">
          <cell r="F266">
            <v>720000</v>
          </cell>
        </row>
        <row r="267">
          <cell r="F267">
            <v>720000</v>
          </cell>
        </row>
        <row r="268">
          <cell r="F268">
            <v>720000</v>
          </cell>
        </row>
        <row r="269">
          <cell r="F269">
            <v>720000</v>
          </cell>
        </row>
        <row r="270">
          <cell r="F270">
            <v>720000</v>
          </cell>
        </row>
        <row r="271">
          <cell r="F271">
            <v>720000</v>
          </cell>
        </row>
        <row r="272">
          <cell r="F272">
            <v>720000</v>
          </cell>
        </row>
        <row r="273">
          <cell r="F273">
            <v>720000</v>
          </cell>
        </row>
        <row r="274">
          <cell r="F274">
            <v>720000</v>
          </cell>
        </row>
        <row r="275">
          <cell r="F275">
            <v>720000</v>
          </cell>
        </row>
        <row r="276">
          <cell r="F276">
            <v>720000</v>
          </cell>
        </row>
        <row r="277">
          <cell r="F277">
            <v>720000</v>
          </cell>
        </row>
        <row r="278">
          <cell r="F278">
            <v>620000</v>
          </cell>
        </row>
        <row r="279">
          <cell r="F279">
            <v>720000</v>
          </cell>
        </row>
        <row r="280">
          <cell r="F280">
            <v>720000</v>
          </cell>
        </row>
        <row r="281">
          <cell r="F281">
            <v>730000</v>
          </cell>
        </row>
        <row r="282">
          <cell r="F282">
            <v>730000</v>
          </cell>
        </row>
        <row r="283">
          <cell r="F283">
            <v>730000</v>
          </cell>
        </row>
        <row r="284">
          <cell r="F284">
            <v>730000</v>
          </cell>
        </row>
        <row r="285">
          <cell r="F285">
            <v>620000</v>
          </cell>
        </row>
        <row r="286">
          <cell r="F286">
            <v>900001</v>
          </cell>
        </row>
        <row r="287">
          <cell r="F287">
            <v>900001</v>
          </cell>
        </row>
        <row r="288">
          <cell r="F288">
            <v>880000</v>
          </cell>
        </row>
        <row r="289">
          <cell r="F289">
            <v>880000</v>
          </cell>
        </row>
        <row r="290">
          <cell r="F290">
            <v>840004</v>
          </cell>
        </row>
        <row r="291">
          <cell r="F291">
            <v>840010</v>
          </cell>
        </row>
        <row r="292">
          <cell r="F292">
            <v>840004</v>
          </cell>
        </row>
        <row r="293">
          <cell r="F293">
            <v>810001</v>
          </cell>
        </row>
        <row r="294">
          <cell r="F294">
            <v>810000</v>
          </cell>
        </row>
        <row r="295">
          <cell r="F295">
            <v>810000</v>
          </cell>
        </row>
        <row r="296">
          <cell r="F296">
            <v>840004</v>
          </cell>
        </row>
        <row r="297">
          <cell r="F297">
            <v>840004</v>
          </cell>
        </row>
        <row r="298">
          <cell r="F298">
            <v>810000</v>
          </cell>
        </row>
        <row r="299">
          <cell r="F299">
            <v>810001</v>
          </cell>
        </row>
        <row r="300">
          <cell r="F300">
            <v>810000</v>
          </cell>
        </row>
        <row r="301">
          <cell r="F301">
            <v>810000</v>
          </cell>
        </row>
        <row r="302">
          <cell r="F302">
            <v>810000</v>
          </cell>
        </row>
        <row r="303">
          <cell r="F303">
            <v>810001</v>
          </cell>
        </row>
        <row r="304">
          <cell r="F304">
            <v>810000</v>
          </cell>
        </row>
        <row r="305">
          <cell r="F305">
            <v>840003</v>
          </cell>
        </row>
        <row r="306">
          <cell r="F306">
            <v>840004</v>
          </cell>
        </row>
        <row r="307">
          <cell r="F307">
            <v>810000</v>
          </cell>
        </row>
        <row r="308">
          <cell r="F308">
            <v>810000</v>
          </cell>
        </row>
        <row r="309">
          <cell r="F309">
            <v>810000</v>
          </cell>
        </row>
        <row r="310">
          <cell r="F310">
            <v>810000</v>
          </cell>
        </row>
        <row r="311">
          <cell r="F311">
            <v>810000</v>
          </cell>
        </row>
        <row r="312">
          <cell r="F312">
            <v>810001</v>
          </cell>
        </row>
        <row r="313">
          <cell r="F313">
            <v>810001</v>
          </cell>
        </row>
        <row r="314">
          <cell r="F314">
            <v>810001</v>
          </cell>
        </row>
        <row r="315">
          <cell r="F315">
            <v>810001</v>
          </cell>
        </row>
        <row r="316">
          <cell r="F316">
            <v>810001</v>
          </cell>
        </row>
        <row r="317">
          <cell r="F317">
            <v>810001</v>
          </cell>
        </row>
        <row r="318">
          <cell r="F318">
            <v>810001</v>
          </cell>
        </row>
        <row r="319">
          <cell r="F319">
            <v>840005</v>
          </cell>
        </row>
        <row r="320">
          <cell r="F320">
            <v>840004</v>
          </cell>
        </row>
        <row r="321">
          <cell r="F321">
            <v>810000</v>
          </cell>
        </row>
        <row r="322">
          <cell r="F322">
            <v>810000</v>
          </cell>
        </row>
        <row r="323">
          <cell r="F323">
            <v>810000</v>
          </cell>
        </row>
        <row r="324">
          <cell r="F324">
            <v>810000</v>
          </cell>
        </row>
        <row r="325">
          <cell r="F325">
            <v>810000</v>
          </cell>
        </row>
        <row r="326">
          <cell r="F326">
            <v>810000</v>
          </cell>
        </row>
        <row r="327">
          <cell r="F327">
            <v>810000</v>
          </cell>
        </row>
        <row r="328">
          <cell r="F328">
            <v>810000</v>
          </cell>
        </row>
        <row r="329">
          <cell r="F329">
            <v>810000</v>
          </cell>
        </row>
        <row r="330">
          <cell r="F330">
            <v>810000</v>
          </cell>
        </row>
        <row r="331">
          <cell r="F331">
            <v>810000</v>
          </cell>
        </row>
        <row r="332">
          <cell r="F332">
            <v>810000</v>
          </cell>
        </row>
        <row r="333">
          <cell r="F333">
            <v>810000</v>
          </cell>
        </row>
        <row r="334">
          <cell r="F334">
            <v>810000</v>
          </cell>
        </row>
        <row r="335">
          <cell r="F335">
            <v>810000</v>
          </cell>
        </row>
        <row r="336">
          <cell r="F336">
            <v>810000</v>
          </cell>
        </row>
        <row r="337">
          <cell r="F337">
            <v>810000</v>
          </cell>
        </row>
        <row r="338">
          <cell r="F338">
            <v>810000</v>
          </cell>
        </row>
        <row r="339">
          <cell r="F339">
            <v>840002</v>
          </cell>
        </row>
        <row r="340">
          <cell r="F340">
            <v>840002</v>
          </cell>
        </row>
        <row r="341">
          <cell r="F341">
            <v>840002</v>
          </cell>
        </row>
        <row r="342">
          <cell r="F342">
            <v>840002</v>
          </cell>
        </row>
        <row r="343">
          <cell r="F343">
            <v>840002</v>
          </cell>
        </row>
        <row r="344">
          <cell r="F344">
            <v>840002</v>
          </cell>
        </row>
        <row r="345">
          <cell r="F345">
            <v>840002</v>
          </cell>
        </row>
        <row r="346">
          <cell r="F346">
            <v>840002</v>
          </cell>
        </row>
        <row r="347">
          <cell r="F347">
            <v>840002</v>
          </cell>
        </row>
        <row r="348">
          <cell r="F348">
            <v>840002</v>
          </cell>
        </row>
        <row r="349">
          <cell r="F349">
            <v>840002</v>
          </cell>
        </row>
        <row r="350">
          <cell r="F350">
            <v>840002</v>
          </cell>
        </row>
        <row r="351">
          <cell r="F351">
            <v>840002</v>
          </cell>
        </row>
        <row r="352">
          <cell r="F352">
            <v>840002</v>
          </cell>
        </row>
        <row r="353">
          <cell r="F353">
            <v>840002</v>
          </cell>
        </row>
        <row r="354">
          <cell r="F354">
            <v>840002</v>
          </cell>
        </row>
        <row r="355">
          <cell r="F355">
            <v>840002</v>
          </cell>
        </row>
        <row r="356">
          <cell r="F356">
            <v>840002</v>
          </cell>
        </row>
        <row r="357">
          <cell r="F357">
            <v>840002</v>
          </cell>
        </row>
        <row r="358">
          <cell r="F358">
            <v>840002</v>
          </cell>
        </row>
        <row r="359">
          <cell r="F359">
            <v>840002</v>
          </cell>
        </row>
        <row r="360">
          <cell r="F360">
            <v>840002</v>
          </cell>
        </row>
        <row r="361">
          <cell r="F361">
            <v>840002</v>
          </cell>
        </row>
        <row r="362">
          <cell r="F362">
            <v>840002</v>
          </cell>
        </row>
        <row r="363">
          <cell r="F363">
            <v>840002</v>
          </cell>
        </row>
        <row r="364">
          <cell r="F364">
            <v>840002</v>
          </cell>
        </row>
        <row r="365">
          <cell r="F365">
            <v>840002</v>
          </cell>
        </row>
        <row r="366">
          <cell r="F366">
            <v>840002</v>
          </cell>
        </row>
        <row r="367">
          <cell r="F367">
            <v>840002</v>
          </cell>
        </row>
        <row r="368">
          <cell r="F368">
            <v>840002</v>
          </cell>
        </row>
        <row r="369">
          <cell r="F369">
            <v>840002</v>
          </cell>
        </row>
        <row r="370">
          <cell r="F370">
            <v>840002</v>
          </cell>
        </row>
        <row r="371">
          <cell r="F371">
            <v>840002</v>
          </cell>
        </row>
        <row r="372">
          <cell r="F372">
            <v>840002</v>
          </cell>
        </row>
        <row r="373">
          <cell r="F373">
            <v>840002</v>
          </cell>
        </row>
        <row r="374">
          <cell r="F374">
            <v>840002</v>
          </cell>
        </row>
        <row r="375">
          <cell r="F375">
            <v>840002</v>
          </cell>
        </row>
        <row r="376">
          <cell r="F376">
            <v>840002</v>
          </cell>
        </row>
        <row r="377">
          <cell r="F377">
            <v>840002</v>
          </cell>
        </row>
        <row r="378">
          <cell r="F378">
            <v>840002</v>
          </cell>
        </row>
        <row r="379">
          <cell r="F379">
            <v>840002</v>
          </cell>
        </row>
        <row r="380">
          <cell r="F380">
            <v>810000</v>
          </cell>
        </row>
        <row r="381">
          <cell r="F381">
            <v>810000</v>
          </cell>
        </row>
        <row r="382">
          <cell r="F382">
            <v>810000</v>
          </cell>
        </row>
        <row r="383">
          <cell r="F383">
            <v>810000</v>
          </cell>
        </row>
        <row r="384">
          <cell r="F384">
            <v>810000</v>
          </cell>
        </row>
        <row r="385">
          <cell r="F385">
            <v>810000</v>
          </cell>
        </row>
        <row r="386">
          <cell r="F386">
            <v>810000</v>
          </cell>
        </row>
        <row r="387">
          <cell r="F387">
            <v>810000</v>
          </cell>
        </row>
        <row r="388">
          <cell r="F388">
            <v>810000</v>
          </cell>
        </row>
        <row r="389">
          <cell r="F389">
            <v>810000</v>
          </cell>
        </row>
        <row r="390">
          <cell r="F390">
            <v>810000</v>
          </cell>
        </row>
        <row r="391">
          <cell r="F391">
            <v>810000</v>
          </cell>
        </row>
        <row r="392">
          <cell r="F392">
            <v>810000</v>
          </cell>
        </row>
        <row r="393">
          <cell r="F393">
            <v>810000</v>
          </cell>
        </row>
        <row r="394">
          <cell r="F394">
            <v>810000</v>
          </cell>
        </row>
        <row r="395">
          <cell r="F395">
            <v>810000</v>
          </cell>
        </row>
        <row r="396">
          <cell r="F396">
            <v>840002</v>
          </cell>
        </row>
        <row r="397">
          <cell r="F397">
            <v>840002</v>
          </cell>
        </row>
        <row r="398">
          <cell r="F398">
            <v>840003</v>
          </cell>
        </row>
        <row r="399">
          <cell r="F399">
            <v>840009</v>
          </cell>
        </row>
        <row r="400">
          <cell r="F400">
            <v>840009</v>
          </cell>
        </row>
        <row r="401">
          <cell r="F401">
            <v>840003</v>
          </cell>
        </row>
        <row r="402">
          <cell r="F402">
            <v>840009</v>
          </cell>
        </row>
        <row r="403">
          <cell r="F403">
            <v>840009</v>
          </cell>
        </row>
        <row r="404">
          <cell r="F404">
            <v>810000</v>
          </cell>
        </row>
        <row r="405">
          <cell r="F405">
            <v>840011</v>
          </cell>
        </row>
        <row r="406">
          <cell r="F406">
            <v>840009</v>
          </cell>
        </row>
        <row r="407">
          <cell r="F407">
            <v>840009</v>
          </cell>
        </row>
        <row r="408">
          <cell r="F408">
            <v>840012</v>
          </cell>
        </row>
        <row r="409">
          <cell r="F409">
            <v>840009</v>
          </cell>
        </row>
        <row r="410">
          <cell r="F410">
            <v>840007</v>
          </cell>
        </row>
        <row r="411">
          <cell r="F411">
            <v>840009</v>
          </cell>
        </row>
        <row r="412">
          <cell r="F412">
            <v>840004</v>
          </cell>
        </row>
        <row r="413">
          <cell r="F413">
            <v>840009</v>
          </cell>
        </row>
        <row r="414">
          <cell r="F414">
            <v>840012</v>
          </cell>
        </row>
        <row r="415">
          <cell r="F415">
            <v>810000</v>
          </cell>
        </row>
        <row r="416">
          <cell r="F416">
            <v>840018</v>
          </cell>
        </row>
        <row r="417">
          <cell r="F417">
            <v>840021</v>
          </cell>
        </row>
        <row r="418">
          <cell r="F418">
            <v>840019</v>
          </cell>
        </row>
        <row r="419">
          <cell r="F419">
            <v>870000</v>
          </cell>
        </row>
        <row r="420">
          <cell r="F420">
            <v>870000</v>
          </cell>
        </row>
        <row r="421">
          <cell r="F421">
            <v>870000</v>
          </cell>
        </row>
        <row r="422">
          <cell r="F422">
            <v>870000</v>
          </cell>
        </row>
        <row r="423">
          <cell r="F423">
            <v>870000</v>
          </cell>
        </row>
        <row r="424">
          <cell r="F424">
            <v>840009</v>
          </cell>
        </row>
        <row r="425">
          <cell r="F425">
            <v>840009</v>
          </cell>
        </row>
        <row r="426">
          <cell r="F426">
            <v>840008</v>
          </cell>
        </row>
        <row r="427">
          <cell r="F427">
            <v>840009</v>
          </cell>
        </row>
        <row r="428">
          <cell r="F428">
            <v>810000</v>
          </cell>
        </row>
        <row r="429">
          <cell r="F429">
            <v>840009</v>
          </cell>
        </row>
        <row r="430">
          <cell r="F430">
            <v>810001</v>
          </cell>
        </row>
        <row r="431">
          <cell r="F431">
            <v>840010</v>
          </cell>
        </row>
        <row r="432">
          <cell r="F432">
            <v>840009</v>
          </cell>
        </row>
        <row r="433">
          <cell r="F433">
            <v>810001</v>
          </cell>
        </row>
        <row r="434">
          <cell r="F434">
            <v>840010</v>
          </cell>
        </row>
        <row r="435">
          <cell r="F435">
            <v>810001</v>
          </cell>
        </row>
        <row r="436">
          <cell r="F436">
            <v>810000</v>
          </cell>
        </row>
        <row r="437">
          <cell r="F437">
            <v>810000</v>
          </cell>
        </row>
        <row r="438">
          <cell r="F438">
            <v>810000</v>
          </cell>
        </row>
        <row r="439">
          <cell r="F439">
            <v>810000</v>
          </cell>
        </row>
        <row r="440">
          <cell r="F440">
            <v>810000</v>
          </cell>
        </row>
        <row r="441">
          <cell r="F441">
            <v>810000</v>
          </cell>
        </row>
        <row r="442">
          <cell r="F442">
            <v>810000</v>
          </cell>
        </row>
        <row r="443">
          <cell r="F443">
            <v>810000</v>
          </cell>
        </row>
        <row r="444">
          <cell r="F444">
            <v>810000</v>
          </cell>
        </row>
        <row r="445">
          <cell r="F445">
            <v>810000</v>
          </cell>
        </row>
        <row r="446">
          <cell r="F446">
            <v>840002</v>
          </cell>
        </row>
        <row r="447">
          <cell r="F447">
            <v>880000</v>
          </cell>
        </row>
        <row r="448">
          <cell r="F448">
            <v>880000</v>
          </cell>
        </row>
        <row r="449">
          <cell r="F449">
            <v>880000</v>
          </cell>
        </row>
        <row r="450">
          <cell r="F450">
            <v>880000</v>
          </cell>
        </row>
        <row r="451">
          <cell r="F451">
            <v>880000</v>
          </cell>
        </row>
        <row r="452">
          <cell r="F452">
            <v>890000</v>
          </cell>
        </row>
        <row r="453">
          <cell r="F453">
            <v>810000</v>
          </cell>
        </row>
        <row r="454">
          <cell r="F454">
            <v>810000</v>
          </cell>
        </row>
        <row r="455">
          <cell r="F455">
            <v>880000</v>
          </cell>
        </row>
        <row r="456">
          <cell r="F456">
            <v>840002</v>
          </cell>
        </row>
        <row r="457">
          <cell r="F457">
            <v>840002</v>
          </cell>
        </row>
        <row r="458">
          <cell r="F458">
            <v>520000</v>
          </cell>
        </row>
        <row r="459">
          <cell r="F459">
            <v>840011</v>
          </cell>
        </row>
        <row r="460">
          <cell r="F460">
            <v>810001</v>
          </cell>
        </row>
        <row r="461">
          <cell r="F461">
            <v>840016</v>
          </cell>
        </row>
        <row r="462">
          <cell r="F462">
            <v>810002</v>
          </cell>
        </row>
        <row r="463">
          <cell r="F463">
            <v>840001</v>
          </cell>
        </row>
        <row r="464">
          <cell r="F464">
            <v>840016</v>
          </cell>
        </row>
        <row r="465">
          <cell r="F465">
            <v>0</v>
          </cell>
        </row>
        <row r="466">
          <cell r="F466">
            <v>0</v>
          </cell>
        </row>
        <row r="467">
          <cell r="F467">
            <v>0</v>
          </cell>
        </row>
        <row r="468">
          <cell r="F468">
            <v>0</v>
          </cell>
        </row>
        <row r="469">
          <cell r="F469">
            <v>0</v>
          </cell>
        </row>
        <row r="470">
          <cell r="F470">
            <v>0</v>
          </cell>
        </row>
        <row r="471">
          <cell r="F471">
            <v>0</v>
          </cell>
        </row>
        <row r="472">
          <cell r="F472">
            <v>0</v>
          </cell>
        </row>
        <row r="473">
          <cell r="F473">
            <v>0</v>
          </cell>
        </row>
        <row r="474">
          <cell r="F474">
            <v>0</v>
          </cell>
        </row>
        <row r="475">
          <cell r="F475">
            <v>0</v>
          </cell>
        </row>
        <row r="476">
          <cell r="F476">
            <v>0</v>
          </cell>
        </row>
        <row r="477">
          <cell r="F477">
            <v>0</v>
          </cell>
        </row>
        <row r="478">
          <cell r="F478">
            <v>0</v>
          </cell>
        </row>
        <row r="479">
          <cell r="F479">
            <v>0</v>
          </cell>
        </row>
        <row r="480">
          <cell r="F480">
            <v>0</v>
          </cell>
        </row>
        <row r="481">
          <cell r="F481">
            <v>0</v>
          </cell>
        </row>
        <row r="482">
          <cell r="F482">
            <v>0</v>
          </cell>
        </row>
        <row r="483">
          <cell r="F483">
            <v>0</v>
          </cell>
        </row>
        <row r="484">
          <cell r="F484">
            <v>0</v>
          </cell>
        </row>
        <row r="485">
          <cell r="F485">
            <v>0</v>
          </cell>
        </row>
      </sheetData>
      <sheetData sheetId="4" refreshError="1"/>
      <sheetData sheetId="5" refreshError="1"/>
      <sheetData sheetId="6" refreshError="1"/>
      <sheetData sheetId="7" refreshError="1">
        <row r="2">
          <cell r="I2">
            <v>40756</v>
          </cell>
        </row>
      </sheetData>
      <sheetData sheetId="8" refreshError="1"/>
      <sheetData sheetId="9" refreshError="1"/>
      <sheetData sheetId="10" refreshError="1">
        <row r="10">
          <cell r="A10">
            <v>100000</v>
          </cell>
        </row>
        <row r="11">
          <cell r="A11">
            <v>100005</v>
          </cell>
        </row>
        <row r="12">
          <cell r="A12">
            <v>110000</v>
          </cell>
        </row>
        <row r="13">
          <cell r="A13">
            <v>0</v>
          </cell>
        </row>
        <row r="14">
          <cell r="A14">
            <v>130000</v>
          </cell>
        </row>
        <row r="15">
          <cell r="A15">
            <v>0</v>
          </cell>
        </row>
        <row r="16">
          <cell r="A16">
            <v>0</v>
          </cell>
        </row>
        <row r="17">
          <cell r="A17">
            <v>300000</v>
          </cell>
        </row>
        <row r="18">
          <cell r="A18">
            <v>300001</v>
          </cell>
        </row>
        <row r="19">
          <cell r="A19">
            <v>300004</v>
          </cell>
        </row>
        <row r="20">
          <cell r="A20">
            <v>300005</v>
          </cell>
        </row>
        <row r="21">
          <cell r="A21">
            <v>300007</v>
          </cell>
        </row>
        <row r="22">
          <cell r="A22">
            <v>300006</v>
          </cell>
        </row>
        <row r="23">
          <cell r="A23">
            <v>310</v>
          </cell>
        </row>
        <row r="24">
          <cell r="A24">
            <v>300010</v>
          </cell>
        </row>
        <row r="25">
          <cell r="A25">
            <v>0</v>
          </cell>
        </row>
        <row r="26">
          <cell r="A26">
            <v>400000</v>
          </cell>
        </row>
        <row r="27">
          <cell r="A27">
            <v>410000</v>
          </cell>
        </row>
        <row r="28">
          <cell r="A28">
            <v>0</v>
          </cell>
        </row>
        <row r="29">
          <cell r="A29">
            <v>0</v>
          </cell>
        </row>
        <row r="30">
          <cell r="A30">
            <v>450000</v>
          </cell>
        </row>
        <row r="31">
          <cell r="A31">
            <v>451000</v>
          </cell>
        </row>
        <row r="32">
          <cell r="A32">
            <v>0</v>
          </cell>
        </row>
        <row r="33">
          <cell r="A33">
            <v>0</v>
          </cell>
        </row>
        <row r="34">
          <cell r="A34">
            <v>0</v>
          </cell>
        </row>
        <row r="35">
          <cell r="A35">
            <v>0</v>
          </cell>
        </row>
        <row r="36">
          <cell r="A36">
            <v>0</v>
          </cell>
        </row>
        <row r="37">
          <cell r="A37">
            <v>0</v>
          </cell>
        </row>
        <row r="38">
          <cell r="A38">
            <v>500000</v>
          </cell>
        </row>
        <row r="39">
          <cell r="A39">
            <v>510000</v>
          </cell>
        </row>
        <row r="40">
          <cell r="A40">
            <v>520000</v>
          </cell>
        </row>
        <row r="41">
          <cell r="A41">
            <v>540000</v>
          </cell>
        </row>
        <row r="42">
          <cell r="A42">
            <v>550000</v>
          </cell>
        </row>
        <row r="43">
          <cell r="A43">
            <v>560000</v>
          </cell>
        </row>
        <row r="44">
          <cell r="A44">
            <v>570000</v>
          </cell>
        </row>
        <row r="45">
          <cell r="A45">
            <v>0</v>
          </cell>
        </row>
        <row r="46">
          <cell r="A46">
            <v>0</v>
          </cell>
        </row>
        <row r="47">
          <cell r="A47">
            <v>600000</v>
          </cell>
        </row>
        <row r="48">
          <cell r="A48">
            <v>600001</v>
          </cell>
        </row>
        <row r="49">
          <cell r="A49">
            <v>610000</v>
          </cell>
        </row>
        <row r="50">
          <cell r="A50">
            <v>620000</v>
          </cell>
        </row>
        <row r="51">
          <cell r="A51">
            <v>0</v>
          </cell>
        </row>
        <row r="52">
          <cell r="A52">
            <v>0</v>
          </cell>
        </row>
        <row r="53">
          <cell r="A53">
            <v>700000</v>
          </cell>
        </row>
        <row r="54">
          <cell r="A54">
            <v>710000</v>
          </cell>
        </row>
        <row r="55">
          <cell r="A55">
            <v>720000</v>
          </cell>
        </row>
        <row r="56">
          <cell r="A56">
            <v>725000</v>
          </cell>
        </row>
        <row r="57">
          <cell r="A57">
            <v>730000</v>
          </cell>
        </row>
        <row r="58">
          <cell r="A58">
            <v>0</v>
          </cell>
        </row>
        <row r="59">
          <cell r="A59">
            <v>0</v>
          </cell>
        </row>
        <row r="60">
          <cell r="A60">
            <v>0</v>
          </cell>
        </row>
        <row r="61">
          <cell r="A61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udget revision 24.7.23"/>
      <sheetName val="BOD slides 30.6.23"/>
      <sheetName val="Budget revision14.5.23"/>
      <sheetName val="BOD slides 31.3.23"/>
      <sheetName val="Pivot 1"/>
      <sheetName val="SOW ROSE"/>
      <sheetName val="SOW"/>
      <sheetName val="Parameters"/>
      <sheetName val="Caster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>
        <row r="2">
          <cell r="AH2">
            <v>3.4</v>
          </cell>
          <cell r="AI2">
            <v>3.4</v>
          </cell>
          <cell r="AJ2">
            <v>3.4</v>
          </cell>
          <cell r="AK2">
            <v>3.4</v>
          </cell>
          <cell r="AL2">
            <v>3.4</v>
          </cell>
          <cell r="AM2">
            <v>3.4</v>
          </cell>
          <cell r="AN2">
            <v>3.4</v>
          </cell>
          <cell r="AO2">
            <v>3.4</v>
          </cell>
          <cell r="AP2">
            <v>3.4</v>
          </cell>
          <cell r="AQ2">
            <v>3.4</v>
          </cell>
          <cell r="AR2">
            <v>3.4</v>
          </cell>
          <cell r="AS2">
            <v>3.4</v>
          </cell>
        </row>
      </sheetData>
      <sheetData sheetId="8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W"/>
      <sheetName val="Parameters"/>
      <sheetName val="Pivot 1"/>
      <sheetName val="Finance Budget 2023"/>
      <sheetName val="2023 SOW - Finance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MP_ID"/>
      <sheetName val="ROLES"/>
      <sheetName val="אבוג'ן בסיס לתקציב 2023 "/>
      <sheetName val="EMPLOYEES"/>
      <sheetName val="OPEX"/>
      <sheetName val="Employe_to_IDs"/>
      <sheetName val="Product"/>
      <sheetName val="Roles_Without_Sal"/>
      <sheetName val="SAL"/>
      <sheetName val="DIF"/>
      <sheetName val="Fixed_Costs"/>
      <sheetName val="Roles_Cost_2020"/>
    </sheetNames>
    <sheetDataSet>
      <sheetData sheetId="0"/>
      <sheetData sheetId="1">
        <row r="13">
          <cell r="A13" t="str">
            <v>Role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H Spread"/>
      <sheetName val="Piplines &amp; Technologies"/>
      <sheetName val="Packages"/>
      <sheetName val="Package_Sum"/>
      <sheetName val="Roles"/>
      <sheetName val="Sheet1"/>
      <sheetName val="Sheet2"/>
    </sheetNames>
    <sheetDataSet>
      <sheetData sheetId="0"/>
      <sheetData sheetId="1"/>
      <sheetData sheetId="2"/>
      <sheetData sheetId="3"/>
      <sheetData sheetId="4">
        <row r="1">
          <cell r="M1">
            <v>164218.13616499995</v>
          </cell>
        </row>
        <row r="5">
          <cell r="M5">
            <v>144399.88659000001</v>
          </cell>
        </row>
      </sheetData>
      <sheetData sheetId="5"/>
      <sheetData sheetId="6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fer "/>
      <sheetName val=" Employees for 2023"/>
      <sheetName val="FTE check"/>
      <sheetName val="Pivot 3"/>
      <sheetName val="Pivot  2"/>
      <sheetName val="Pivot 1"/>
      <sheetName val="Pivot "/>
      <sheetName val="Sheet1"/>
      <sheetName val="Task units pivot"/>
      <sheetName val="SOW"/>
      <sheetName val="Parameter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6">
          <cell r="A6" t="str">
            <v>B40/20.P999.412.000-E000</v>
          </cell>
        </row>
      </sheetData>
      <sheetData sheetId="10">
        <row r="1">
          <cell r="B1" t="str">
            <v>DepartmentNo.</v>
          </cell>
          <cell r="C1" t="str">
            <v>Department Name</v>
          </cell>
          <cell r="P1" t="str">
            <v>ProjectName</v>
          </cell>
          <cell r="Q1" t="str">
            <v>ProjectFull</v>
          </cell>
          <cell r="R1" t="str">
            <v>Default Division</v>
          </cell>
          <cell r="S1" t="str">
            <v>ProjectNum</v>
          </cell>
          <cell r="U1" t="str">
            <v>Prefix</v>
          </cell>
          <cell r="V1" t="str">
            <v>Division</v>
          </cell>
          <cell r="BN1" t="str">
            <v>Ending</v>
          </cell>
          <cell r="BO1" t="str">
            <v>Task Description</v>
          </cell>
          <cell r="BP1" t="str">
            <v>Credit Budget</v>
          </cell>
          <cell r="BQ1" t="str">
            <v>Unit Description</v>
          </cell>
          <cell r="BR1" t="str">
            <v>Cost Department</v>
          </cell>
          <cell r="BS1" t="str">
            <v>Defalut Credit Prefix</v>
          </cell>
          <cell r="BT1" t="str">
            <v>Ending Type</v>
          </cell>
          <cell r="BU1" t="str">
            <v>Ending Group</v>
          </cell>
          <cell r="BV1" t="str">
            <v>Recognition Type</v>
          </cell>
          <cell r="BW1" t="str">
            <v>Cost Per unit</v>
          </cell>
          <cell r="CG1" t="str">
            <v>FinReport</v>
          </cell>
          <cell r="CH1" t="str">
            <v>Code</v>
          </cell>
        </row>
        <row r="2">
          <cell r="B2">
            <v>304</v>
          </cell>
          <cell r="C2" t="str">
            <v>Ag-Seed</v>
          </cell>
          <cell r="P2" t="str">
            <v>agPlenus Tech</v>
          </cell>
          <cell r="Q2" t="str">
            <v>P21 - agPlenus Tech</v>
          </cell>
          <cell r="R2" t="str">
            <v>AgPlenus</v>
          </cell>
          <cell r="S2" t="str">
            <v>P21</v>
          </cell>
          <cell r="U2" t="str">
            <v>B10</v>
          </cell>
          <cell r="V2" t="str">
            <v>AgPlenus</v>
          </cell>
          <cell r="AH2">
            <v>3.4</v>
          </cell>
          <cell r="AI2">
            <v>3.4</v>
          </cell>
          <cell r="AJ2">
            <v>3.4</v>
          </cell>
          <cell r="AK2">
            <v>3.4</v>
          </cell>
          <cell r="AL2">
            <v>3.4</v>
          </cell>
          <cell r="AM2">
            <v>3.4</v>
          </cell>
          <cell r="AN2">
            <v>3.4</v>
          </cell>
          <cell r="AO2">
            <v>3.4</v>
          </cell>
          <cell r="AP2">
            <v>3.4</v>
          </cell>
          <cell r="AQ2">
            <v>3.4</v>
          </cell>
          <cell r="AR2">
            <v>3.4</v>
          </cell>
          <cell r="AS2">
            <v>3.4</v>
          </cell>
          <cell r="BN2" t="str">
            <v>E000 - Salary</v>
          </cell>
          <cell r="BT2" t="str">
            <v>Salary</v>
          </cell>
          <cell r="BU2" t="str">
            <v>Salary</v>
          </cell>
          <cell r="BW2">
            <v>0</v>
          </cell>
          <cell r="CG2" t="str">
            <v>Revenues</v>
          </cell>
          <cell r="CH2" t="str">
            <v>00</v>
          </cell>
          <cell r="CQ2" t="str">
            <v>Department number</v>
          </cell>
          <cell r="CR2" t="str">
            <v>Department</v>
          </cell>
          <cell r="CS2" t="str">
            <v>הגדרת תפקיד</v>
          </cell>
          <cell r="CT2" t="str">
            <v xml:space="preserve">שם פרטי </v>
          </cell>
          <cell r="CU2" t="str">
            <v xml:space="preserve">שם משפחה </v>
          </cell>
          <cell r="CV2" t="str">
            <v>ינואר</v>
          </cell>
          <cell r="CW2" t="str">
            <v>פברואר</v>
          </cell>
          <cell r="CX2" t="str">
            <v>מרץ</v>
          </cell>
          <cell r="CY2" t="str">
            <v>אפריל</v>
          </cell>
          <cell r="CZ2" t="str">
            <v>מאי</v>
          </cell>
          <cell r="DA2" t="str">
            <v>יוני</v>
          </cell>
          <cell r="DB2" t="str">
            <v>יולי</v>
          </cell>
          <cell r="DC2" t="str">
            <v>אוגוסט</v>
          </cell>
          <cell r="DD2" t="str">
            <v>ספטמבר</v>
          </cell>
          <cell r="DE2" t="str">
            <v>אוקטובר</v>
          </cell>
          <cell r="DF2" t="str">
            <v>נובמבר</v>
          </cell>
          <cell r="DG2" t="str">
            <v>דצמבר</v>
          </cell>
          <cell r="DH2" t="str">
            <v>סה"כ שנתי  - NIS</v>
          </cell>
        </row>
        <row r="3">
          <cell r="B3">
            <v>302</v>
          </cell>
          <cell r="C3" t="str">
            <v>Ag-Seed BD</v>
          </cell>
          <cell r="P3" t="str">
            <v>Herbicides Corteva</v>
          </cell>
          <cell r="Q3" t="str">
            <v>P210 - Herbicides Corteva</v>
          </cell>
          <cell r="R3" t="str">
            <v>AgPlenus</v>
          </cell>
          <cell r="S3" t="str">
            <v>P210</v>
          </cell>
          <cell r="U3" t="str">
            <v>B20</v>
          </cell>
          <cell r="V3" t="str">
            <v>Lavie Bio</v>
          </cell>
          <cell r="BN3" t="str">
            <v xml:space="preserve">E301 - Capped Patent </v>
          </cell>
          <cell r="BT3" t="str">
            <v>External</v>
          </cell>
          <cell r="BU3" t="str">
            <v>External</v>
          </cell>
          <cell r="BW3">
            <v>0</v>
          </cell>
          <cell r="CG3" t="str">
            <v>COGS</v>
          </cell>
          <cell r="CH3" t="str">
            <v>10</v>
          </cell>
          <cell r="CQ3">
            <v>401</v>
          </cell>
          <cell r="CR3" t="str">
            <v>CPB Exec. MGMT</v>
          </cell>
          <cell r="CS3" t="str">
            <v>CTO</v>
          </cell>
          <cell r="CT3" t="str">
            <v>מרק</v>
          </cell>
          <cell r="CU3" t="str">
            <v>קפליוטסקה</v>
          </cell>
          <cell r="CV3">
            <v>55144.710324334708</v>
          </cell>
          <cell r="CW3">
            <v>55144.710324334708</v>
          </cell>
          <cell r="CX3">
            <v>55144.710324334708</v>
          </cell>
          <cell r="CY3">
            <v>55144.710324334708</v>
          </cell>
          <cell r="CZ3">
            <v>55144.710324334708</v>
          </cell>
          <cell r="DA3">
            <v>55144.710324334708</v>
          </cell>
          <cell r="DB3">
            <v>55144.710324334708</v>
          </cell>
          <cell r="DC3">
            <v>55144.710324334708</v>
          </cell>
          <cell r="DD3">
            <v>55144.710324334708</v>
          </cell>
          <cell r="DE3">
            <v>55144.710324334708</v>
          </cell>
          <cell r="DF3">
            <v>55144.710324334708</v>
          </cell>
          <cell r="DG3">
            <v>55144.710324334708</v>
          </cell>
          <cell r="DH3">
            <v>661736.52389201627</v>
          </cell>
        </row>
        <row r="4">
          <cell r="B4">
            <v>301</v>
          </cell>
          <cell r="C4" t="str">
            <v>Ag-Seed Exec. MGMT</v>
          </cell>
          <cell r="P4" t="str">
            <v>Herbicides APTH1</v>
          </cell>
          <cell r="Q4" t="str">
            <v>P211 - Herbicides APTH1</v>
          </cell>
          <cell r="R4" t="str">
            <v>AgPlenus</v>
          </cell>
          <cell r="S4" t="str">
            <v>P211</v>
          </cell>
          <cell r="U4" t="str">
            <v>B30</v>
          </cell>
          <cell r="V4" t="str">
            <v>Ag-Seed</v>
          </cell>
          <cell r="BN4" t="str">
            <v>E302 - Non Capped Patent</v>
          </cell>
          <cell r="BT4" t="str">
            <v>External</v>
          </cell>
          <cell r="BU4" t="str">
            <v>External</v>
          </cell>
          <cell r="BW4">
            <v>0</v>
          </cell>
          <cell r="CG4" t="str">
            <v>RD</v>
          </cell>
          <cell r="CH4" t="str">
            <v>20</v>
          </cell>
          <cell r="CQ4">
            <v>416</v>
          </cell>
          <cell r="CR4" t="str">
            <v>Tissue Culture</v>
          </cell>
          <cell r="CS4" t="str">
            <v>TC Team Leader</v>
          </cell>
          <cell r="CT4" t="str">
            <v>נירן</v>
          </cell>
          <cell r="CU4" t="str">
            <v>חי</v>
          </cell>
          <cell r="CV4">
            <v>21728.021155542221</v>
          </cell>
          <cell r="CW4">
            <v>21728.021155542221</v>
          </cell>
          <cell r="CX4">
            <v>21728.021155542221</v>
          </cell>
          <cell r="CY4">
            <v>21728.021155542221</v>
          </cell>
          <cell r="CZ4">
            <v>21728.021155542221</v>
          </cell>
          <cell r="DA4">
            <v>21728.021155542221</v>
          </cell>
          <cell r="DB4">
            <v>21728.021155542221</v>
          </cell>
          <cell r="DC4">
            <v>21728.021155542221</v>
          </cell>
          <cell r="DD4">
            <v>21728.021155542221</v>
          </cell>
          <cell r="DE4">
            <v>21728.021155542221</v>
          </cell>
          <cell r="DF4">
            <v>21728.021155542221</v>
          </cell>
          <cell r="DG4">
            <v>21728.021155542221</v>
          </cell>
          <cell r="DH4">
            <v>260736.25386650671</v>
          </cell>
        </row>
        <row r="5">
          <cell r="B5">
            <v>303</v>
          </cell>
          <cell r="C5" t="str">
            <v>Ag-Seed PM</v>
          </cell>
          <cell r="P5" t="str">
            <v>Herbicides</v>
          </cell>
          <cell r="Q5" t="str">
            <v>P23 - Herbicides</v>
          </cell>
          <cell r="R5" t="str">
            <v>AgPlenus</v>
          </cell>
          <cell r="S5" t="str">
            <v>P23</v>
          </cell>
          <cell r="U5" t="str">
            <v>B31</v>
          </cell>
          <cell r="V5" t="str">
            <v>Insect-Control</v>
          </cell>
          <cell r="BN5" t="str">
            <v>E999 - External</v>
          </cell>
          <cell r="BT5" t="str">
            <v>External</v>
          </cell>
          <cell r="BU5" t="str">
            <v>External</v>
          </cell>
          <cell r="BW5">
            <v>0</v>
          </cell>
          <cell r="CG5" t="str">
            <v>SM</v>
          </cell>
          <cell r="CH5">
            <v>30</v>
          </cell>
          <cell r="CQ5">
            <v>412</v>
          </cell>
          <cell r="CR5" t="str">
            <v>PLM</v>
          </cell>
          <cell r="CS5" t="str">
            <v>PLM</v>
          </cell>
          <cell r="CT5" t="str">
            <v>צ'ימי</v>
          </cell>
          <cell r="CU5" t="str">
            <v>שירטה</v>
          </cell>
          <cell r="CV5">
            <v>17975.56859871712</v>
          </cell>
          <cell r="CW5">
            <v>17975.56859871712</v>
          </cell>
          <cell r="CX5">
            <v>17975.56859871712</v>
          </cell>
          <cell r="CY5">
            <v>17975.56859871712</v>
          </cell>
          <cell r="CZ5">
            <v>17975.56859871712</v>
          </cell>
          <cell r="DA5">
            <v>17975.56859871712</v>
          </cell>
          <cell r="DB5">
            <v>17975.56859871712</v>
          </cell>
          <cell r="DC5">
            <v>17975.56859871712</v>
          </cell>
          <cell r="DD5">
            <v>17975.56859871712</v>
          </cell>
          <cell r="DE5">
            <v>17975.56859871712</v>
          </cell>
          <cell r="DF5">
            <v>17975.56859871712</v>
          </cell>
          <cell r="DG5">
            <v>17975.56859871712</v>
          </cell>
          <cell r="DH5">
            <v>215706.82318460548</v>
          </cell>
        </row>
        <row r="6">
          <cell r="B6">
            <v>202</v>
          </cell>
          <cell r="C6" t="str">
            <v>AgPlenus BD</v>
          </cell>
          <cell r="P6" t="str">
            <v>Fungicides</v>
          </cell>
          <cell r="Q6" t="str">
            <v>P24 - Fungicides</v>
          </cell>
          <cell r="R6" t="str">
            <v>AgPlenus</v>
          </cell>
          <cell r="S6" t="str">
            <v>P24</v>
          </cell>
          <cell r="U6" t="str">
            <v>B32</v>
          </cell>
          <cell r="V6" t="str">
            <v>IP-Legacy</v>
          </cell>
          <cell r="BN6" t="str">
            <v>T101 - Agronomist</v>
          </cell>
          <cell r="BO6" t="str">
            <v>Agronomist FTE annual cost</v>
          </cell>
          <cell r="BP6" t="str">
            <v>B40/22.P997.418.XXX-T101</v>
          </cell>
          <cell r="BQ6" t="str">
            <v>Per annual FTE</v>
          </cell>
          <cell r="BR6" t="str">
            <v>418</v>
          </cell>
          <cell r="BS6" t="str">
            <v>B40</v>
          </cell>
          <cell r="BT6" t="str">
            <v>CPB</v>
          </cell>
          <cell r="BU6" t="str">
            <v>Evogene service</v>
          </cell>
          <cell r="BV6" t="str">
            <v>Period</v>
          </cell>
          <cell r="BW6">
            <v>557.94235981872509</v>
          </cell>
          <cell r="CG6" t="str">
            <v>BD</v>
          </cell>
          <cell r="CH6" t="str">
            <v>50</v>
          </cell>
          <cell r="CQ6">
            <v>412</v>
          </cell>
          <cell r="CR6" t="str">
            <v>PLM</v>
          </cell>
          <cell r="CS6" t="str">
            <v>Seed Bank &amp; PLM Manager</v>
          </cell>
          <cell r="CT6" t="str">
            <v>דשה</v>
          </cell>
          <cell r="CU6" t="str">
            <v>אורצקי</v>
          </cell>
          <cell r="CV6">
            <v>21564.96980650054</v>
          </cell>
          <cell r="CW6">
            <v>21564.96980650054</v>
          </cell>
          <cell r="CX6">
            <v>21564.96980650054</v>
          </cell>
          <cell r="CY6">
            <v>21564.96980650054</v>
          </cell>
          <cell r="CZ6">
            <v>21564.96980650054</v>
          </cell>
          <cell r="DA6">
            <v>21564.96980650054</v>
          </cell>
          <cell r="DB6">
            <v>21564.96980650054</v>
          </cell>
          <cell r="DC6">
            <v>21564.96980650054</v>
          </cell>
          <cell r="DD6">
            <v>21564.96980650054</v>
          </cell>
          <cell r="DE6">
            <v>21564.96980650054</v>
          </cell>
          <cell r="DF6">
            <v>21564.96980650054</v>
          </cell>
          <cell r="DG6">
            <v>21564.96980650054</v>
          </cell>
          <cell r="DH6">
            <v>258779.63767800646</v>
          </cell>
        </row>
        <row r="7">
          <cell r="B7">
            <v>201</v>
          </cell>
          <cell r="C7" t="str">
            <v>AgPlenus Exec. MGMT</v>
          </cell>
          <cell r="P7" t="str">
            <v>TcdAB</v>
          </cell>
          <cell r="Q7" t="str">
            <v>P250 - TcdAB</v>
          </cell>
          <cell r="R7" t="str">
            <v>Biomica</v>
          </cell>
          <cell r="S7" t="str">
            <v>P250</v>
          </cell>
          <cell r="U7" t="str">
            <v>B40</v>
          </cell>
          <cell r="V7" t="str">
            <v>CPB</v>
          </cell>
          <cell r="BN7" t="str">
            <v>T102 - Algorithm Developer</v>
          </cell>
          <cell r="BO7" t="str">
            <v>Algorithm Developer FTE annual cost</v>
          </cell>
          <cell r="BP7" t="str">
            <v>B40/22.P997.404.XXX-T102</v>
          </cell>
          <cell r="BQ7" t="str">
            <v>Per annual FTE</v>
          </cell>
          <cell r="BR7" t="str">
            <v>404</v>
          </cell>
          <cell r="BS7" t="str">
            <v>B40</v>
          </cell>
          <cell r="BT7" t="str">
            <v>CPB</v>
          </cell>
          <cell r="BU7" t="str">
            <v>Evogene service</v>
          </cell>
          <cell r="BV7" t="str">
            <v>Period</v>
          </cell>
          <cell r="BW7">
            <v>911.48299878618604</v>
          </cell>
          <cell r="CG7" t="str">
            <v>GA</v>
          </cell>
          <cell r="CH7" t="str">
            <v>60</v>
          </cell>
          <cell r="CQ7">
            <v>418</v>
          </cell>
          <cell r="CR7" t="str">
            <v>Plant Growth</v>
          </cell>
          <cell r="CS7" t="str">
            <v>Senior Technician</v>
          </cell>
          <cell r="CT7" t="str">
            <v>עוז</v>
          </cell>
          <cell r="CU7" t="str">
            <v>לסר</v>
          </cell>
          <cell r="CV7">
            <v>17190.170872250423</v>
          </cell>
          <cell r="CW7">
            <v>17190.170872250423</v>
          </cell>
          <cell r="CX7">
            <v>17190.170872250423</v>
          </cell>
          <cell r="CY7">
            <v>17190.170872250423</v>
          </cell>
          <cell r="CZ7">
            <v>17190.170872250423</v>
          </cell>
          <cell r="DA7">
            <v>17190.170872250423</v>
          </cell>
          <cell r="DB7">
            <v>17190.170872250423</v>
          </cell>
          <cell r="DC7">
            <v>17190.170872250423</v>
          </cell>
          <cell r="DD7">
            <v>17190.170872250423</v>
          </cell>
          <cell r="DE7">
            <v>17190.170872250423</v>
          </cell>
          <cell r="DF7">
            <v>17190.170872250423</v>
          </cell>
          <cell r="DG7">
            <v>17190.170872250423</v>
          </cell>
          <cell r="DH7">
            <v>206282.05046700509</v>
          </cell>
        </row>
        <row r="8">
          <cell r="B8">
            <v>203</v>
          </cell>
          <cell r="C8" t="str">
            <v>AgPlenus PM</v>
          </cell>
          <cell r="P8" t="str">
            <v>MRSA 50S</v>
          </cell>
          <cell r="Q8" t="str">
            <v>P251 - MRSA 50S</v>
          </cell>
          <cell r="R8" t="str">
            <v>Biomica</v>
          </cell>
          <cell r="S8" t="str">
            <v>P251</v>
          </cell>
          <cell r="U8" t="str">
            <v>B41</v>
          </cell>
          <cell r="V8" t="str">
            <v>Phenomics</v>
          </cell>
          <cell r="BN8" t="str">
            <v>T103 - Bioinformatician</v>
          </cell>
          <cell r="BO8" t="str">
            <v>Bioinformatician FTE annual cost</v>
          </cell>
          <cell r="BP8" t="str">
            <v>B40/22.P997.405.XXX-T103</v>
          </cell>
          <cell r="BQ8" t="str">
            <v>Per annual FTE</v>
          </cell>
          <cell r="BR8" t="str">
            <v>405</v>
          </cell>
          <cell r="BS8" t="str">
            <v>B40</v>
          </cell>
          <cell r="BT8" t="str">
            <v>CPB</v>
          </cell>
          <cell r="BU8" t="str">
            <v>Evogene service</v>
          </cell>
          <cell r="BV8" t="str">
            <v>Period</v>
          </cell>
          <cell r="BW8">
            <v>751.43280007739986</v>
          </cell>
          <cell r="CG8" t="str">
            <v>Financial Inc/Exp</v>
          </cell>
          <cell r="CH8" t="str">
            <v>70</v>
          </cell>
          <cell r="CQ8">
            <v>401</v>
          </cell>
          <cell r="CR8" t="str">
            <v>CPB Exec. MGMT</v>
          </cell>
          <cell r="CS8" t="str">
            <v>VP of Experimental Technologies</v>
          </cell>
          <cell r="CT8" t="str">
            <v>סילביה</v>
          </cell>
          <cell r="CU8" t="str">
            <v>שקד</v>
          </cell>
          <cell r="CV8">
            <v>45643.428372001232</v>
          </cell>
          <cell r="CW8">
            <v>45643.428372001232</v>
          </cell>
          <cell r="CX8">
            <v>45643.428372001232</v>
          </cell>
          <cell r="CY8">
            <v>45643.428372001232</v>
          </cell>
          <cell r="CZ8">
            <v>45643.428372001232</v>
          </cell>
          <cell r="DA8">
            <v>45643.428372001232</v>
          </cell>
          <cell r="DB8">
            <v>45643.428372001232</v>
          </cell>
          <cell r="DC8">
            <v>45643.428372001232</v>
          </cell>
          <cell r="DD8">
            <v>45643.428372001232</v>
          </cell>
          <cell r="DE8">
            <v>45643.428372001232</v>
          </cell>
          <cell r="DF8">
            <v>45643.428372001232</v>
          </cell>
          <cell r="DG8">
            <v>45643.428372001232</v>
          </cell>
          <cell r="DH8">
            <v>547721.14046401472</v>
          </cell>
        </row>
        <row r="9">
          <cell r="B9">
            <v>205</v>
          </cell>
          <cell r="C9" t="str">
            <v>AgPlenus RD</v>
          </cell>
          <cell r="P9" t="str">
            <v>Cancer Immun adjuvant</v>
          </cell>
          <cell r="Q9" t="str">
            <v>P252 - Cancer Immun adjuvant</v>
          </cell>
          <cell r="R9" t="str">
            <v>Biomica</v>
          </cell>
          <cell r="S9" t="str">
            <v>P252</v>
          </cell>
          <cell r="U9" t="str">
            <v>B42</v>
          </cell>
          <cell r="V9" t="str">
            <v>CrisperIL</v>
          </cell>
          <cell r="BN9" t="str">
            <v>T104 - Data Gathering</v>
          </cell>
          <cell r="BO9" t="str">
            <v>Data Gathering FTE annual cost</v>
          </cell>
          <cell r="BP9" t="str">
            <v>B40/22.P997.411.XXX-T104</v>
          </cell>
          <cell r="BQ9" t="str">
            <v>Per annual FTE</v>
          </cell>
          <cell r="BR9" t="str">
            <v>411</v>
          </cell>
          <cell r="BS9" t="str">
            <v>B40</v>
          </cell>
          <cell r="BT9" t="str">
            <v>CPB</v>
          </cell>
          <cell r="BU9" t="str">
            <v>Evogene service</v>
          </cell>
          <cell r="BV9" t="str">
            <v>Period</v>
          </cell>
          <cell r="BW9">
            <v>457.96136458456613</v>
          </cell>
          <cell r="CG9" t="str">
            <v>Grants refundable</v>
          </cell>
          <cell r="CH9" t="str">
            <v>90</v>
          </cell>
          <cell r="CQ9">
            <v>405</v>
          </cell>
          <cell r="CR9" t="str">
            <v>Bioinformatics</v>
          </cell>
          <cell r="CS9" t="str">
            <v xml:space="preserve">Bioinformatician </v>
          </cell>
          <cell r="CT9" t="str">
            <v>מארק</v>
          </cell>
          <cell r="CU9" t="str">
            <v>קצנלנבוגן</v>
          </cell>
          <cell r="CV9">
            <v>35030.821710667587</v>
          </cell>
          <cell r="CW9">
            <v>35030.821710667587</v>
          </cell>
          <cell r="CX9">
            <v>35030.821710667587</v>
          </cell>
          <cell r="CY9">
            <v>35030.821710667587</v>
          </cell>
          <cell r="CZ9">
            <v>35030.821710667587</v>
          </cell>
          <cell r="DA9">
            <v>35030.821710667587</v>
          </cell>
          <cell r="DB9">
            <v>35030.821710667587</v>
          </cell>
          <cell r="DC9">
            <v>35030.821710667587</v>
          </cell>
          <cell r="DD9">
            <v>35030.821710667587</v>
          </cell>
          <cell r="DE9">
            <v>35030.821710667587</v>
          </cell>
          <cell r="DF9">
            <v>35030.821710667587</v>
          </cell>
          <cell r="DG9">
            <v>35030.821710667587</v>
          </cell>
          <cell r="DH9">
            <v>420369.86052801093</v>
          </cell>
        </row>
        <row r="10">
          <cell r="B10">
            <v>404</v>
          </cell>
          <cell r="C10" t="str">
            <v>Algorithm</v>
          </cell>
          <cell r="P10" t="str">
            <v>IBS</v>
          </cell>
          <cell r="Q10" t="str">
            <v>P254 - IBS</v>
          </cell>
          <cell r="R10" t="str">
            <v>Biomica</v>
          </cell>
          <cell r="S10" t="str">
            <v>P254</v>
          </cell>
          <cell r="U10" t="str">
            <v>B50</v>
          </cell>
          <cell r="V10" t="str">
            <v>CPBL</v>
          </cell>
          <cell r="BN10" t="str">
            <v>T105 - DevOps</v>
          </cell>
          <cell r="BO10" t="str">
            <v>DevOps FTE annual cost</v>
          </cell>
          <cell r="BP10" t="str">
            <v>B40/22.P997.420.XXX-T105</v>
          </cell>
          <cell r="BQ10" t="str">
            <v>Per annual FTE</v>
          </cell>
          <cell r="BR10" t="str">
            <v>420</v>
          </cell>
          <cell r="BS10" t="str">
            <v>B40</v>
          </cell>
          <cell r="BT10" t="str">
            <v>CPB</v>
          </cell>
          <cell r="BU10" t="str">
            <v>Evogene service</v>
          </cell>
          <cell r="BV10" t="str">
            <v>Period</v>
          </cell>
          <cell r="BW10">
            <v>956.47444662303462</v>
          </cell>
          <cell r="CG10" t="str">
            <v>CAPEX</v>
          </cell>
          <cell r="CH10" t="str">
            <v>95</v>
          </cell>
          <cell r="CQ10">
            <v>401</v>
          </cell>
          <cell r="CR10" t="str">
            <v>CPB Exec. MGMT</v>
          </cell>
          <cell r="CS10" t="str">
            <v>VP of Computational Technologies</v>
          </cell>
          <cell r="CT10" t="str">
            <v>איליה</v>
          </cell>
          <cell r="CU10" t="str">
            <v>זידקוב</v>
          </cell>
          <cell r="CV10">
            <v>59290.534592834942</v>
          </cell>
          <cell r="CW10">
            <v>59290.534592834942</v>
          </cell>
          <cell r="CX10">
            <v>59290.534592834942</v>
          </cell>
          <cell r="CY10">
            <v>59290.534592834942</v>
          </cell>
          <cell r="CZ10">
            <v>59290.534592834942</v>
          </cell>
          <cell r="DA10">
            <v>59290.534592834942</v>
          </cell>
          <cell r="DB10">
            <v>59290.534592834942</v>
          </cell>
          <cell r="DC10">
            <v>59290.534592834942</v>
          </cell>
          <cell r="DD10">
            <v>59290.534592834942</v>
          </cell>
          <cell r="DE10">
            <v>59290.534592834942</v>
          </cell>
          <cell r="DF10">
            <v>59290.534592834942</v>
          </cell>
          <cell r="DG10">
            <v>59290.534592834942</v>
          </cell>
          <cell r="DH10">
            <v>711486.41511401953</v>
          </cell>
        </row>
        <row r="11">
          <cell r="B11">
            <v>405</v>
          </cell>
          <cell r="C11" t="str">
            <v>Bioinformatics</v>
          </cell>
          <cell r="P11" t="str">
            <v>IBD</v>
          </cell>
          <cell r="Q11" t="str">
            <v>P255 - IBD</v>
          </cell>
          <cell r="R11" t="str">
            <v>Biomica</v>
          </cell>
          <cell r="S11" t="str">
            <v>P255</v>
          </cell>
          <cell r="U11" t="str">
            <v>B55</v>
          </cell>
          <cell r="V11" t="str">
            <v>CSO</v>
          </cell>
          <cell r="BN11" t="str">
            <v>T106 - Molecular Biologist</v>
          </cell>
          <cell r="BO11" t="str">
            <v>Molecular Biologist FTE annual cost</v>
          </cell>
          <cell r="BP11" t="str">
            <v>B40/22.P997.413.XXX-T106</v>
          </cell>
          <cell r="BQ11" t="str">
            <v>Per annual FTE</v>
          </cell>
          <cell r="BR11" t="str">
            <v>413</v>
          </cell>
          <cell r="BS11" t="str">
            <v>B40</v>
          </cell>
          <cell r="BT11" t="str">
            <v>CPB</v>
          </cell>
          <cell r="BU11" t="str">
            <v>Evogene service</v>
          </cell>
          <cell r="BV11" t="str">
            <v>Period</v>
          </cell>
          <cell r="BW11">
            <v>528.80167142028904</v>
          </cell>
          <cell r="CG11" t="str">
            <v>Cash Adjusments</v>
          </cell>
          <cell r="CH11" t="str">
            <v>96</v>
          </cell>
          <cell r="CQ11">
            <v>410</v>
          </cell>
          <cell r="CR11" t="str">
            <v>Data Generation</v>
          </cell>
          <cell r="CS11" t="str">
            <v>Data Gathering TL</v>
          </cell>
          <cell r="CT11" t="str">
            <v>לידיה</v>
          </cell>
          <cell r="CU11" t="str">
            <v>גהלי</v>
          </cell>
          <cell r="CV11">
            <v>21514.294830333798</v>
          </cell>
          <cell r="CW11">
            <v>21514.294830333798</v>
          </cell>
          <cell r="CX11">
            <v>21514.294830333798</v>
          </cell>
          <cell r="CY11">
            <v>21514.294830333798</v>
          </cell>
          <cell r="CZ11">
            <v>21514.294830333798</v>
          </cell>
          <cell r="DA11">
            <v>21514.294830333798</v>
          </cell>
          <cell r="DB11">
            <v>21514.294830333798</v>
          </cell>
          <cell r="DC11">
            <v>21514.294830333798</v>
          </cell>
          <cell r="DD11">
            <v>21514.294830333798</v>
          </cell>
          <cell r="DE11">
            <v>21514.294830333798</v>
          </cell>
          <cell r="DF11">
            <v>21514.294830333798</v>
          </cell>
          <cell r="DG11">
            <v>21514.294830333798</v>
          </cell>
          <cell r="DH11">
            <v>258171.53796400552</v>
          </cell>
        </row>
        <row r="12">
          <cell r="B12">
            <v>995</v>
          </cell>
          <cell r="C12" t="str">
            <v>Biomica BD</v>
          </cell>
          <cell r="P12" t="str">
            <v>Infrastructure</v>
          </cell>
          <cell r="Q12" t="str">
            <v>P257 - Infrastructure</v>
          </cell>
          <cell r="R12" t="str">
            <v>Biomica</v>
          </cell>
          <cell r="S12" t="str">
            <v>P257</v>
          </cell>
          <cell r="U12" t="str">
            <v>B70</v>
          </cell>
          <cell r="V12" t="str">
            <v>Biomica</v>
          </cell>
          <cell r="BN12" t="str">
            <v>T107 - Phytopatologist</v>
          </cell>
          <cell r="BO12" t="str">
            <v>Phytopatologist FTE annual cost</v>
          </cell>
          <cell r="BP12" t="str">
            <v>B40/22.P997.415.XXX-T107</v>
          </cell>
          <cell r="BQ12" t="str">
            <v>Per annual FTE</v>
          </cell>
          <cell r="BR12" t="str">
            <v>415</v>
          </cell>
          <cell r="BS12" t="str">
            <v>B40</v>
          </cell>
          <cell r="BT12" t="str">
            <v>CPB</v>
          </cell>
          <cell r="BU12" t="str">
            <v>Evogene service</v>
          </cell>
          <cell r="BV12" t="str">
            <v>Period</v>
          </cell>
          <cell r="BW12">
            <v>443.6087142946501</v>
          </cell>
          <cell r="CQ12">
            <v>418</v>
          </cell>
          <cell r="CR12" t="str">
            <v>Plant Growth</v>
          </cell>
          <cell r="CS12" t="str">
            <v>Director of Greenhouse Research Center</v>
          </cell>
          <cell r="CT12" t="str">
            <v>זיו</v>
          </cell>
          <cell r="CU12" t="str">
            <v>חלמיש</v>
          </cell>
          <cell r="CV12">
            <v>37815.261869250884</v>
          </cell>
          <cell r="CW12">
            <v>37815.261869250884</v>
          </cell>
          <cell r="CX12">
            <v>37815.261869250884</v>
          </cell>
          <cell r="CY12">
            <v>37815.261869250884</v>
          </cell>
          <cell r="CZ12">
            <v>37815.261869250884</v>
          </cell>
          <cell r="DA12">
            <v>37815.261869250884</v>
          </cell>
          <cell r="DB12">
            <v>37815.261869250884</v>
          </cell>
          <cell r="DC12">
            <v>37815.261869250884</v>
          </cell>
          <cell r="DD12">
            <v>37815.261869250884</v>
          </cell>
          <cell r="DE12">
            <v>37815.261869250884</v>
          </cell>
          <cell r="DF12">
            <v>37815.261869250884</v>
          </cell>
          <cell r="DG12">
            <v>37815.261869250884</v>
          </cell>
          <cell r="DH12">
            <v>453783.14243101072</v>
          </cell>
        </row>
        <row r="13">
          <cell r="B13">
            <v>207</v>
          </cell>
          <cell r="C13" t="str">
            <v>Biomica CSO</v>
          </cell>
          <cell r="P13" t="str">
            <v>Breeding general</v>
          </cell>
          <cell r="Q13" t="str">
            <v>P197 - Breeding general</v>
          </cell>
          <cell r="R13" t="str">
            <v>Canonic</v>
          </cell>
          <cell r="S13" t="str">
            <v>P197</v>
          </cell>
          <cell r="U13" t="str">
            <v>B72</v>
          </cell>
          <cell r="V13" t="str">
            <v>Casterra</v>
          </cell>
          <cell r="BN13" t="str">
            <v>T108 - PLM</v>
          </cell>
          <cell r="BO13" t="str">
            <v>PLM FTE annual cost</v>
          </cell>
          <cell r="BP13" t="str">
            <v>B40/22.P997.412.XXX-T108</v>
          </cell>
          <cell r="BQ13" t="str">
            <v>Per annual FTE</v>
          </cell>
          <cell r="BR13" t="str">
            <v>412</v>
          </cell>
          <cell r="BS13" t="str">
            <v>B40</v>
          </cell>
          <cell r="BT13" t="str">
            <v>CPB</v>
          </cell>
          <cell r="BU13" t="str">
            <v>Evogene service</v>
          </cell>
          <cell r="BV13" t="str">
            <v>Period</v>
          </cell>
          <cell r="BW13">
            <v>485.66698260563408</v>
          </cell>
          <cell r="CQ13">
            <v>418</v>
          </cell>
          <cell r="CR13" t="str">
            <v>Plant Growth</v>
          </cell>
          <cell r="CS13" t="str">
            <v>Agronomist</v>
          </cell>
          <cell r="CT13" t="str">
            <v xml:space="preserve">אביב </v>
          </cell>
          <cell r="CU13" t="str">
            <v>הימל</v>
          </cell>
          <cell r="CV13">
            <v>21812.65931554222</v>
          </cell>
          <cell r="DH13">
            <v>21812.65931554222</v>
          </cell>
        </row>
        <row r="14">
          <cell r="B14">
            <v>994</v>
          </cell>
          <cell r="C14" t="str">
            <v>Biomica Exec. MGMT</v>
          </cell>
          <cell r="P14" t="str">
            <v xml:space="preserve">Breeding -MG </v>
          </cell>
          <cell r="Q14" t="str">
            <v xml:space="preserve">P198 - Breeding -MG </v>
          </cell>
          <cell r="R14" t="str">
            <v>Canonic</v>
          </cell>
          <cell r="S14" t="str">
            <v>P198</v>
          </cell>
          <cell r="U14" t="str">
            <v>B74</v>
          </cell>
          <cell r="V14" t="str">
            <v>Canonic</v>
          </cell>
          <cell r="BN14" t="str">
            <v>T109 - Product Manager</v>
          </cell>
          <cell r="BO14" t="str">
            <v>Product Manager FTE annual cost</v>
          </cell>
          <cell r="BP14" t="str">
            <v>B55/22.P997.427.XXX-T109</v>
          </cell>
          <cell r="BQ14" t="str">
            <v>Per annual FTE</v>
          </cell>
          <cell r="BR14" t="str">
            <v>427</v>
          </cell>
          <cell r="BS14" t="str">
            <v>B55</v>
          </cell>
          <cell r="BT14" t="str">
            <v>CPB</v>
          </cell>
          <cell r="BU14" t="str">
            <v>Evogene service</v>
          </cell>
          <cell r="BV14" t="str">
            <v>Period</v>
          </cell>
          <cell r="BW14">
            <v>726.30493924005282</v>
          </cell>
          <cell r="CQ14">
            <v>402</v>
          </cell>
          <cell r="CR14" t="str">
            <v>System Architect</v>
          </cell>
          <cell r="CS14" t="str">
            <v>System Architect</v>
          </cell>
          <cell r="CT14" t="str">
            <v>טל</v>
          </cell>
          <cell r="CU14" t="str">
            <v>נגר</v>
          </cell>
          <cell r="CV14">
            <v>57381.916276668206</v>
          </cell>
          <cell r="CW14">
            <v>57381.916276668206</v>
          </cell>
          <cell r="CX14">
            <v>57381.916276668206</v>
          </cell>
          <cell r="CY14">
            <v>57381.916276668206</v>
          </cell>
          <cell r="CZ14">
            <v>57381.916276668206</v>
          </cell>
          <cell r="DA14">
            <v>57381.916276668206</v>
          </cell>
          <cell r="DB14">
            <v>57381.916276668206</v>
          </cell>
          <cell r="DC14">
            <v>57381.916276668206</v>
          </cell>
          <cell r="DD14">
            <v>57381.916276668206</v>
          </cell>
          <cell r="DE14">
            <v>57381.916276668206</v>
          </cell>
          <cell r="DF14">
            <v>57381.916276668206</v>
          </cell>
          <cell r="DG14">
            <v>57381.916276668206</v>
          </cell>
          <cell r="DH14">
            <v>688582.9953200185</v>
          </cell>
        </row>
        <row r="15">
          <cell r="B15">
            <v>206</v>
          </cell>
          <cell r="C15" t="str">
            <v>Biomica Lab</v>
          </cell>
          <cell r="P15" t="str">
            <v>Core collection &amp; Database</v>
          </cell>
          <cell r="Q15" t="str">
            <v>P199 - Core collection &amp; Database</v>
          </cell>
          <cell r="R15" t="str">
            <v>Canonic</v>
          </cell>
          <cell r="S15" t="str">
            <v>P199</v>
          </cell>
          <cell r="U15" t="str">
            <v>B90</v>
          </cell>
          <cell r="V15" t="str">
            <v>Corporate</v>
          </cell>
          <cell r="BN15" t="str">
            <v>T110 - Project Manager</v>
          </cell>
          <cell r="BO15" t="str">
            <v>Project Manager FTE annual cost</v>
          </cell>
          <cell r="BP15" t="str">
            <v>B40/22.P997.426.XXX-T110</v>
          </cell>
          <cell r="BQ15" t="str">
            <v>Per annual FTE</v>
          </cell>
          <cell r="BR15" t="str">
            <v>426</v>
          </cell>
          <cell r="BS15" t="str">
            <v>B40</v>
          </cell>
          <cell r="BT15" t="str">
            <v>CPB</v>
          </cell>
          <cell r="BU15" t="str">
            <v>Evogene service</v>
          </cell>
          <cell r="BV15" t="str">
            <v>Period</v>
          </cell>
          <cell r="CQ15">
            <v>416</v>
          </cell>
          <cell r="CR15" t="str">
            <v>Tissue Culture</v>
          </cell>
          <cell r="CS15" t="str">
            <v xml:space="preserve">Senior TC Biologist </v>
          </cell>
          <cell r="CT15" t="str">
            <v>מרה</v>
          </cell>
          <cell r="CU15" t="str">
            <v>דקל</v>
          </cell>
          <cell r="CV15">
            <v>25107.515020750659</v>
          </cell>
          <cell r="CW15">
            <v>25107.515020750659</v>
          </cell>
          <cell r="CX15">
            <v>25107.515020750659</v>
          </cell>
          <cell r="CY15">
            <v>25107.515020750659</v>
          </cell>
          <cell r="CZ15">
            <v>25107.515020750659</v>
          </cell>
          <cell r="DA15">
            <v>25107.515020750659</v>
          </cell>
          <cell r="DB15">
            <v>25107.515020750659</v>
          </cell>
          <cell r="DC15">
            <v>25107.515020750659</v>
          </cell>
          <cell r="DD15">
            <v>25107.515020750659</v>
          </cell>
          <cell r="DE15">
            <v>25107.515020750659</v>
          </cell>
          <cell r="DF15">
            <v>25107.515020750659</v>
          </cell>
          <cell r="DG15">
            <v>25107.515020750659</v>
          </cell>
          <cell r="DH15">
            <v>301290.18024900794</v>
          </cell>
        </row>
        <row r="16">
          <cell r="B16">
            <v>999</v>
          </cell>
          <cell r="C16" t="str">
            <v>Biomica RD</v>
          </cell>
          <cell r="P16" t="str">
            <v>Product development</v>
          </cell>
          <cell r="Q16" t="str">
            <v>P205 - Product development</v>
          </cell>
          <cell r="R16" t="str">
            <v>Canonic</v>
          </cell>
          <cell r="S16" t="str">
            <v>P205</v>
          </cell>
          <cell r="BN16" t="str">
            <v>T111 - Seedbank</v>
          </cell>
          <cell r="BO16" t="str">
            <v>Seedbank FTE annual cost</v>
          </cell>
          <cell r="BP16" t="str">
            <v>B40/22.P997.418.XXX-T111</v>
          </cell>
          <cell r="BQ16" t="str">
            <v>Per annual FTE</v>
          </cell>
          <cell r="BR16" t="str">
            <v>418</v>
          </cell>
          <cell r="BS16" t="str">
            <v>B40</v>
          </cell>
          <cell r="BT16" t="str">
            <v>CPB</v>
          </cell>
          <cell r="BU16" t="str">
            <v>Evogene service</v>
          </cell>
          <cell r="BV16" t="str">
            <v>Period</v>
          </cell>
          <cell r="CQ16">
            <v>413</v>
          </cell>
          <cell r="CR16" t="str">
            <v>Molecular lab</v>
          </cell>
          <cell r="CS16" t="str">
            <v>Technician</v>
          </cell>
          <cell r="CT16" t="str">
            <v>יסמין</v>
          </cell>
          <cell r="CU16" t="str">
            <v>פלוטקין</v>
          </cell>
          <cell r="CV16">
            <v>15485.163414167051</v>
          </cell>
          <cell r="CW16">
            <v>15485.163414167051</v>
          </cell>
          <cell r="CX16">
            <v>15485.163414167051</v>
          </cell>
          <cell r="CY16">
            <v>15485.163414167051</v>
          </cell>
          <cell r="CZ16">
            <v>15485.163414167051</v>
          </cell>
          <cell r="DA16">
            <v>15485.163414167051</v>
          </cell>
          <cell r="DB16">
            <v>15485.163414167051</v>
          </cell>
          <cell r="DC16">
            <v>15485.163414167051</v>
          </cell>
          <cell r="DD16">
            <v>15485.163414167051</v>
          </cell>
          <cell r="DE16">
            <v>15485.163414167051</v>
          </cell>
          <cell r="DF16">
            <v>15485.163414167051</v>
          </cell>
          <cell r="DG16">
            <v>15485.163414167051</v>
          </cell>
          <cell r="DH16">
            <v>185821.96097000467</v>
          </cell>
        </row>
        <row r="17">
          <cell r="B17">
            <v>422</v>
          </cell>
          <cell r="C17" t="str">
            <v>CPB Directors</v>
          </cell>
          <cell r="P17" t="str">
            <v>Computational Dev</v>
          </cell>
          <cell r="Q17" t="str">
            <v>P209 - Computational Dev</v>
          </cell>
          <cell r="R17" t="str">
            <v>Canonic</v>
          </cell>
          <cell r="S17" t="str">
            <v>P209</v>
          </cell>
          <cell r="BN17" t="str">
            <v>T112 - Software Developer</v>
          </cell>
          <cell r="BO17" t="str">
            <v>Software Developer FTE annual cost</v>
          </cell>
          <cell r="BP17" t="str">
            <v>B40/22.P997.406.XXX-T112</v>
          </cell>
          <cell r="BQ17" t="str">
            <v>Per annual FTE</v>
          </cell>
          <cell r="BR17" t="str">
            <v>406</v>
          </cell>
          <cell r="BS17" t="str">
            <v>B40</v>
          </cell>
          <cell r="BT17" t="str">
            <v>CPB</v>
          </cell>
          <cell r="BU17" t="str">
            <v>Evogene service</v>
          </cell>
          <cell r="BV17" t="str">
            <v>Period</v>
          </cell>
          <cell r="BW17">
            <v>905.95983041799695</v>
          </cell>
          <cell r="CQ17">
            <v>406</v>
          </cell>
          <cell r="CR17" t="str">
            <v>Software Development</v>
          </cell>
          <cell r="CS17" t="str">
            <v>Full Stuck Developer</v>
          </cell>
          <cell r="CT17" t="str">
            <v>נועם</v>
          </cell>
          <cell r="CU17" t="str">
            <v>ארצי</v>
          </cell>
          <cell r="CV17">
            <v>37475.545743500996</v>
          </cell>
          <cell r="CW17">
            <v>37475.545743500996</v>
          </cell>
          <cell r="CX17">
            <v>37475.545743500996</v>
          </cell>
          <cell r="CY17">
            <v>37475.545743500996</v>
          </cell>
          <cell r="CZ17">
            <v>37475.545743500996</v>
          </cell>
          <cell r="DA17">
            <v>37475.545743500996</v>
          </cell>
          <cell r="DB17">
            <v>37475.545743500996</v>
          </cell>
          <cell r="DC17">
            <v>37475.545743500996</v>
          </cell>
          <cell r="DD17">
            <v>37475.545743500996</v>
          </cell>
          <cell r="DE17">
            <v>37475.545743500996</v>
          </cell>
          <cell r="DF17">
            <v>37475.545743500996</v>
          </cell>
          <cell r="DG17">
            <v>37475.545743500996</v>
          </cell>
          <cell r="DH17">
            <v>449706.54892201192</v>
          </cell>
        </row>
        <row r="18">
          <cell r="B18">
            <v>401</v>
          </cell>
          <cell r="C18" t="str">
            <v>CPB Exec. MGMT</v>
          </cell>
          <cell r="P18" t="str">
            <v>Rebranding</v>
          </cell>
          <cell r="Q18" t="str">
            <v>P268 - Rebranding</v>
          </cell>
          <cell r="R18" t="str">
            <v>Corporate</v>
          </cell>
          <cell r="S18" t="str">
            <v>P268</v>
          </cell>
          <cell r="BN18" t="str">
            <v>T113 - Tissue Biologist</v>
          </cell>
          <cell r="BO18" t="str">
            <v>Tissue Biologist FTE annual cost</v>
          </cell>
          <cell r="BP18" t="str">
            <v>B40/22.P997.416.XXX-T113</v>
          </cell>
          <cell r="BQ18" t="str">
            <v>Per annual FTE</v>
          </cell>
          <cell r="BR18" t="str">
            <v>416</v>
          </cell>
          <cell r="BS18" t="str">
            <v>B40</v>
          </cell>
          <cell r="BT18" t="str">
            <v>CPB</v>
          </cell>
          <cell r="BU18" t="str">
            <v>Evogene service</v>
          </cell>
          <cell r="BV18" t="str">
            <v>Period</v>
          </cell>
          <cell r="BW18">
            <v>518.6535746832518</v>
          </cell>
          <cell r="CQ18">
            <v>416</v>
          </cell>
          <cell r="CR18" t="str">
            <v>Tissue Culture</v>
          </cell>
          <cell r="CS18" t="str">
            <v>TC Biologist</v>
          </cell>
          <cell r="CT18" t="str">
            <v xml:space="preserve">נורית </v>
          </cell>
          <cell r="CU18" t="str">
            <v xml:space="preserve">בר </v>
          </cell>
          <cell r="CV18">
            <v>19538.173788417163</v>
          </cell>
          <cell r="CW18">
            <v>19538.173788417163</v>
          </cell>
          <cell r="CX18">
            <v>19538.173788417163</v>
          </cell>
          <cell r="CY18">
            <v>19538.173788417163</v>
          </cell>
          <cell r="CZ18">
            <v>19538.173788417163</v>
          </cell>
          <cell r="DA18">
            <v>19538.173788417163</v>
          </cell>
          <cell r="DB18">
            <v>19538.173788417163</v>
          </cell>
          <cell r="DC18">
            <v>19538.173788417163</v>
          </cell>
          <cell r="DD18">
            <v>19538.173788417163</v>
          </cell>
          <cell r="DE18">
            <v>19538.173788417163</v>
          </cell>
          <cell r="DF18">
            <v>19538.173788417163</v>
          </cell>
          <cell r="DG18">
            <v>19538.173788417163</v>
          </cell>
          <cell r="DH18">
            <v>234458.08546100595</v>
          </cell>
        </row>
        <row r="19">
          <cell r="B19">
            <v>996</v>
          </cell>
          <cell r="C19" t="str">
            <v>Canonic BD</v>
          </cell>
          <cell r="P19" t="str">
            <v>Zero Balance</v>
          </cell>
          <cell r="Q19" t="str">
            <v>P509 - Zero Balance</v>
          </cell>
          <cell r="R19" t="str">
            <v>Corporate</v>
          </cell>
          <cell r="S19" t="str">
            <v>P509</v>
          </cell>
          <cell r="BN19" t="str">
            <v>T114 - Hourly Student</v>
          </cell>
          <cell r="BO19" t="str">
            <v>Hourly Student FTE annual cost</v>
          </cell>
          <cell r="BQ19" t="str">
            <v>Per annual FTE</v>
          </cell>
          <cell r="BR19" t="str">
            <v>418</v>
          </cell>
          <cell r="BS19" t="str">
            <v>B40</v>
          </cell>
          <cell r="BT19" t="str">
            <v>External</v>
          </cell>
          <cell r="BU19" t="str">
            <v>External</v>
          </cell>
          <cell r="BV19" t="str">
            <v>Period</v>
          </cell>
          <cell r="CQ19">
            <v>413</v>
          </cell>
          <cell r="CR19" t="str">
            <v>Molecular lab</v>
          </cell>
          <cell r="CS19" t="str">
            <v>Lab Team Lead</v>
          </cell>
          <cell r="CT19" t="str">
            <v>נעמה</v>
          </cell>
          <cell r="CU19" t="str">
            <v>שני</v>
          </cell>
          <cell r="CV19">
            <v>25138.708260750656</v>
          </cell>
          <cell r="CW19">
            <v>25138.708260750656</v>
          </cell>
          <cell r="CX19">
            <v>25138.708260750656</v>
          </cell>
          <cell r="CY19">
            <v>25138.708260750656</v>
          </cell>
          <cell r="CZ19">
            <v>25138.708260750656</v>
          </cell>
          <cell r="DA19">
            <v>25138.708260750656</v>
          </cell>
          <cell r="DB19">
            <v>25138.708260750656</v>
          </cell>
          <cell r="DC19">
            <v>25138.708260750656</v>
          </cell>
          <cell r="DD19">
            <v>25138.708260750656</v>
          </cell>
          <cell r="DE19">
            <v>25138.708260750656</v>
          </cell>
          <cell r="DF19">
            <v>25138.708260750656</v>
          </cell>
          <cell r="DG19">
            <v>25138.708260750656</v>
          </cell>
          <cell r="DH19">
            <v>301664.49912900786</v>
          </cell>
        </row>
        <row r="20">
          <cell r="B20">
            <v>982</v>
          </cell>
          <cell r="C20" t="str">
            <v>Canonic Exec.MGMT</v>
          </cell>
          <cell r="P20" t="str">
            <v>Operations &amp; Corporate</v>
          </cell>
          <cell r="Q20" t="str">
            <v>P7 - Operations &amp; Corporate</v>
          </cell>
          <cell r="R20" t="str">
            <v>Corporate</v>
          </cell>
          <cell r="S20" t="str">
            <v>P7</v>
          </cell>
          <cell r="BN20" t="str">
            <v>T115 - System Architect</v>
          </cell>
          <cell r="BW20">
            <v>1107.4707227446638</v>
          </cell>
          <cell r="CQ20">
            <v>406</v>
          </cell>
          <cell r="CR20" t="str">
            <v>Software Development</v>
          </cell>
          <cell r="CS20" t="str">
            <v>Head of software Development</v>
          </cell>
          <cell r="CT20" t="str">
            <v>דודו</v>
          </cell>
          <cell r="CU20" t="str">
            <v>זלצמן</v>
          </cell>
          <cell r="CV20">
            <v>49703.690986251342</v>
          </cell>
          <cell r="CW20">
            <v>49703.690986251342</v>
          </cell>
          <cell r="CX20">
            <v>49703.690986251342</v>
          </cell>
          <cell r="CY20">
            <v>49703.690986251342</v>
          </cell>
          <cell r="CZ20">
            <v>49703.690986251342</v>
          </cell>
          <cell r="DA20">
            <v>49703.690986251342</v>
          </cell>
          <cell r="DB20">
            <v>49703.690986251342</v>
          </cell>
          <cell r="DC20">
            <v>49703.690986251342</v>
          </cell>
          <cell r="DD20">
            <v>49703.690986251342</v>
          </cell>
          <cell r="DE20">
            <v>49703.690986251342</v>
          </cell>
          <cell r="DF20">
            <v>49703.690986251342</v>
          </cell>
          <cell r="DG20">
            <v>49703.690986251342</v>
          </cell>
          <cell r="DH20">
            <v>596444.29183501611</v>
          </cell>
        </row>
        <row r="21">
          <cell r="B21">
            <v>981</v>
          </cell>
          <cell r="C21" t="str">
            <v>Canonic RD</v>
          </cell>
          <cell r="P21" t="str">
            <v>CPB Upkeep Computational</v>
          </cell>
          <cell r="Q21" t="str">
            <v>P271 - CPB Upkeep Computational</v>
          </cell>
          <cell r="R21" t="str">
            <v>CPB</v>
          </cell>
          <cell r="S21" t="str">
            <v>P271</v>
          </cell>
          <cell r="BN21" t="str">
            <v>T201 - Data Package</v>
          </cell>
          <cell r="BO21" t="str">
            <v>Data Package Fixed cost</v>
          </cell>
          <cell r="BP21" t="str">
            <v>B40/22.P271.422.XXX-T201</v>
          </cell>
          <cell r="BQ21" t="str">
            <v>Fixed - Specific</v>
          </cell>
          <cell r="BR21" t="str">
            <v>422</v>
          </cell>
          <cell r="BS21" t="str">
            <v>B40</v>
          </cell>
          <cell r="BT21" t="str">
            <v>CPB</v>
          </cell>
          <cell r="BU21" t="str">
            <v>Evogene service</v>
          </cell>
          <cell r="BV21" t="str">
            <v>Period</v>
          </cell>
          <cell r="CQ21">
            <v>419</v>
          </cell>
          <cell r="CR21" t="str">
            <v>QA</v>
          </cell>
          <cell r="CS21" t="str">
            <v>Bio Operations QA</v>
          </cell>
          <cell r="CT21" t="str">
            <v>עדי</v>
          </cell>
          <cell r="CU21" t="str">
            <v>שריד</v>
          </cell>
          <cell r="CV21">
            <v>19326.668896800493</v>
          </cell>
          <cell r="CW21">
            <v>19326.668896800493</v>
          </cell>
          <cell r="CX21">
            <v>19326.668896800493</v>
          </cell>
          <cell r="CY21">
            <v>19326.668896800493</v>
          </cell>
          <cell r="CZ21">
            <v>19326.668896800493</v>
          </cell>
          <cell r="DA21">
            <v>19326.668896800493</v>
          </cell>
          <cell r="DB21">
            <v>19326.668896800493</v>
          </cell>
          <cell r="DC21">
            <v>19326.668896800493</v>
          </cell>
          <cell r="DD21">
            <v>19326.668896800493</v>
          </cell>
          <cell r="DE21">
            <v>19326.668896800493</v>
          </cell>
          <cell r="DF21">
            <v>19326.668896800493</v>
          </cell>
          <cell r="DG21">
            <v>19326.668896800493</v>
          </cell>
          <cell r="DH21">
            <v>231920.0267616059</v>
          </cell>
        </row>
        <row r="22">
          <cell r="B22">
            <v>993</v>
          </cell>
          <cell r="C22" t="str">
            <v>Casterra BD</v>
          </cell>
          <cell r="P22" t="str">
            <v>CPB Upkeep Experimental</v>
          </cell>
          <cell r="Q22" t="str">
            <v>P275 - CPB Upkeep Experimental</v>
          </cell>
          <cell r="R22" t="str">
            <v>CPB</v>
          </cell>
          <cell r="S22" t="str">
            <v>P275</v>
          </cell>
          <cell r="BN22" t="str">
            <v>T202 - Genes Package</v>
          </cell>
          <cell r="BO22" t="str">
            <v>Genes Package Fixed cost</v>
          </cell>
          <cell r="BP22" t="str">
            <v>B40/22.P272.422.XXX-T202</v>
          </cell>
          <cell r="BQ22" t="str">
            <v>Fixed - Specific</v>
          </cell>
          <cell r="BR22" t="str">
            <v>422</v>
          </cell>
          <cell r="BS22" t="str">
            <v>B40</v>
          </cell>
          <cell r="BT22" t="str">
            <v>CPB</v>
          </cell>
          <cell r="BU22" t="str">
            <v>Evogene service</v>
          </cell>
          <cell r="BV22" t="str">
            <v>Period</v>
          </cell>
          <cell r="CQ22">
            <v>403</v>
          </cell>
          <cell r="CR22" t="str">
            <v>Algorithm</v>
          </cell>
          <cell r="CS22" t="str">
            <v xml:space="preserve">Head of Algorithms </v>
          </cell>
          <cell r="CT22" t="str">
            <v>רוברטו</v>
          </cell>
          <cell r="CU22" t="str">
            <v>אולנדר</v>
          </cell>
          <cell r="CV22">
            <v>48338.95776816798</v>
          </cell>
          <cell r="CW22">
            <v>48338.95776816798</v>
          </cell>
          <cell r="CX22">
            <v>48338.95776816798</v>
          </cell>
          <cell r="CY22">
            <v>48338.95776816798</v>
          </cell>
          <cell r="CZ22">
            <v>48338.95776816798</v>
          </cell>
          <cell r="DA22">
            <v>48338.95776816798</v>
          </cell>
          <cell r="DB22">
            <v>48338.95776816798</v>
          </cell>
          <cell r="DC22">
            <v>48338.95776816798</v>
          </cell>
          <cell r="DD22">
            <v>48338.95776816798</v>
          </cell>
          <cell r="DE22">
            <v>48338.95776816798</v>
          </cell>
          <cell r="DF22">
            <v>48338.95776816798</v>
          </cell>
          <cell r="DG22">
            <v>48338.95776816798</v>
          </cell>
          <cell r="DH22">
            <v>580067.49321801565</v>
          </cell>
        </row>
        <row r="23">
          <cell r="B23">
            <v>998</v>
          </cell>
          <cell r="C23" t="str">
            <v>Casterra RD</v>
          </cell>
          <cell r="P23" t="str">
            <v>CTO Projects</v>
          </cell>
          <cell r="Q23" t="str">
            <v>P276 - CTO Projects</v>
          </cell>
          <cell r="R23" t="str">
            <v>CPB</v>
          </cell>
          <cell r="S23" t="str">
            <v>P276</v>
          </cell>
          <cell r="BN23" t="str">
            <v>T203 - Microbes Package</v>
          </cell>
          <cell r="BO23" t="str">
            <v>Microbes Package Fixed cost</v>
          </cell>
          <cell r="BP23" t="str">
            <v>B40/22.P273.422.XXX-T203</v>
          </cell>
          <cell r="BQ23" t="str">
            <v>Fixed - Specific</v>
          </cell>
          <cell r="BR23" t="str">
            <v>422</v>
          </cell>
          <cell r="BS23" t="str">
            <v>B40</v>
          </cell>
          <cell r="BT23" t="str">
            <v>CPB</v>
          </cell>
          <cell r="BU23" t="str">
            <v>Evogene service</v>
          </cell>
          <cell r="BV23" t="str">
            <v>Period</v>
          </cell>
          <cell r="CQ23">
            <v>403</v>
          </cell>
          <cell r="CR23" t="str">
            <v>Algorithm</v>
          </cell>
          <cell r="CS23" t="str">
            <v>Algorithm Developer</v>
          </cell>
          <cell r="CT23" t="str">
            <v>רננה</v>
          </cell>
          <cell r="CU23" t="str">
            <v>ויצמן</v>
          </cell>
          <cell r="CV23">
            <v>15207.017414167052</v>
          </cell>
          <cell r="CW23">
            <v>15207.017414167052</v>
          </cell>
          <cell r="CX23">
            <v>15207.017414167052</v>
          </cell>
          <cell r="CY23">
            <v>15207.017414167052</v>
          </cell>
          <cell r="CZ23">
            <v>15207.017414167052</v>
          </cell>
          <cell r="DA23">
            <v>15207.017414167052</v>
          </cell>
          <cell r="DB23">
            <v>15207.017414167052</v>
          </cell>
          <cell r="DC23">
            <v>15207.017414167052</v>
          </cell>
          <cell r="DD23">
            <v>15207.017414167052</v>
          </cell>
          <cell r="DE23">
            <v>15207.017414167052</v>
          </cell>
          <cell r="DF23">
            <v>15207.017414167052</v>
          </cell>
          <cell r="DG23">
            <v>15207.017414167052</v>
          </cell>
          <cell r="DH23">
            <v>182484.20897000466</v>
          </cell>
        </row>
        <row r="24">
          <cell r="B24">
            <v>417</v>
          </cell>
          <cell r="C24" t="str">
            <v>Chemistry Lab</v>
          </cell>
          <cell r="P24" t="str">
            <v>CPB projects Computational</v>
          </cell>
          <cell r="Q24" t="str">
            <v>P279 - CPB projects Computational</v>
          </cell>
          <cell r="R24" t="str">
            <v>CPB</v>
          </cell>
          <cell r="S24" t="str">
            <v>P279</v>
          </cell>
          <cell r="BN24" t="str">
            <v>T204 - Small Molecules</v>
          </cell>
          <cell r="BO24" t="str">
            <v>Small Molecules Fixed cost</v>
          </cell>
          <cell r="BP24" t="str">
            <v>B40/22.P274.422.XXX-T204</v>
          </cell>
          <cell r="BQ24" t="str">
            <v>Fixed - Specific</v>
          </cell>
          <cell r="BR24" t="str">
            <v>422</v>
          </cell>
          <cell r="BS24" t="str">
            <v>B40</v>
          </cell>
          <cell r="BT24" t="str">
            <v>CPB</v>
          </cell>
          <cell r="BU24" t="str">
            <v>Evogene service</v>
          </cell>
          <cell r="BV24" t="str">
            <v>Period</v>
          </cell>
          <cell r="CQ24">
            <v>418</v>
          </cell>
          <cell r="CR24" t="str">
            <v>Plant Growth</v>
          </cell>
          <cell r="CS24" t="str">
            <v xml:space="preserve">Chief  Agronomist </v>
          </cell>
          <cell r="CT24" t="str">
            <v>ראובן</v>
          </cell>
          <cell r="CU24" t="str">
            <v>גרטל</v>
          </cell>
          <cell r="CV24">
            <v>34787.391138445368</v>
          </cell>
          <cell r="CW24">
            <v>34787.391138445368</v>
          </cell>
          <cell r="CX24">
            <v>34787.391138445368</v>
          </cell>
          <cell r="CY24">
            <v>34787.391138445368</v>
          </cell>
          <cell r="CZ24">
            <v>34787.391138445368</v>
          </cell>
          <cell r="DA24">
            <v>34787.391138445368</v>
          </cell>
          <cell r="DB24">
            <v>34787.391138445368</v>
          </cell>
          <cell r="DC24">
            <v>34787.391138445368</v>
          </cell>
          <cell r="DD24">
            <v>34787.391138445368</v>
          </cell>
          <cell r="DE24">
            <v>34787.391138445368</v>
          </cell>
          <cell r="DF24">
            <v>34787.391138445368</v>
          </cell>
          <cell r="DG24">
            <v>34787.391138445368</v>
          </cell>
          <cell r="DH24">
            <v>417448.6936613443</v>
          </cell>
        </row>
        <row r="25">
          <cell r="B25">
            <v>602</v>
          </cell>
          <cell r="C25" t="str">
            <v>Corporate BD</v>
          </cell>
          <cell r="P25" t="str">
            <v>CPB projects Experimental</v>
          </cell>
          <cell r="Q25" t="str">
            <v>P281 - CPB projects Experimental</v>
          </cell>
          <cell r="R25" t="str">
            <v>CPB</v>
          </cell>
          <cell r="S25" t="str">
            <v>P281</v>
          </cell>
          <cell r="BN25" t="str">
            <v>T205 - Labs and GH package</v>
          </cell>
          <cell r="BO25" t="str">
            <v>Labs and GH package Fixed cost</v>
          </cell>
          <cell r="BP25" t="str">
            <v>B40/22.P275.422.XXX-T205</v>
          </cell>
          <cell r="BQ25" t="str">
            <v>Fixed - Specific</v>
          </cell>
          <cell r="BR25" t="str">
            <v>422</v>
          </cell>
          <cell r="BS25" t="str">
            <v>B40</v>
          </cell>
          <cell r="BT25" t="str">
            <v>CPB</v>
          </cell>
          <cell r="BU25" t="str">
            <v>Evogene service</v>
          </cell>
          <cell r="BV25" t="str">
            <v>Period</v>
          </cell>
          <cell r="CQ25">
            <v>420</v>
          </cell>
          <cell r="CR25" t="str">
            <v>DevOps</v>
          </cell>
          <cell r="CS25" t="str">
            <v>DevOps Developer</v>
          </cell>
          <cell r="CT25" t="str">
            <v>אנדרי</v>
          </cell>
          <cell r="CU25" t="str">
            <v>לוזגין</v>
          </cell>
          <cell r="CV25">
            <v>34759.628787334259</v>
          </cell>
          <cell r="CW25">
            <v>34759.628787334259</v>
          </cell>
          <cell r="CX25">
            <v>34759.628787334259</v>
          </cell>
          <cell r="CY25">
            <v>34759.628787334259</v>
          </cell>
          <cell r="CZ25">
            <v>34759.628787334259</v>
          </cell>
          <cell r="DA25">
            <v>34759.628787334259</v>
          </cell>
          <cell r="DB25">
            <v>34759.628787334259</v>
          </cell>
          <cell r="DC25">
            <v>34759.628787334259</v>
          </cell>
          <cell r="DD25">
            <v>34759.628787334259</v>
          </cell>
          <cell r="DE25">
            <v>34759.628787334259</v>
          </cell>
          <cell r="DF25">
            <v>34759.628787334259</v>
          </cell>
          <cell r="DG25">
            <v>34759.628787334259</v>
          </cell>
          <cell r="DH25">
            <v>417115.54544801108</v>
          </cell>
        </row>
        <row r="26">
          <cell r="B26">
            <v>601</v>
          </cell>
          <cell r="C26" t="str">
            <v>Corporate Exec. MGMT</v>
          </cell>
          <cell r="P26" t="str">
            <v>Corteva</v>
          </cell>
          <cell r="Q26" t="str">
            <v>P143 - Corteva</v>
          </cell>
          <cell r="R26" t="str">
            <v>Lavie Bio</v>
          </cell>
          <cell r="S26" t="str">
            <v>P143</v>
          </cell>
          <cell r="BN26" t="str">
            <v>T206 - GR</v>
          </cell>
          <cell r="BW26">
            <v>0</v>
          </cell>
          <cell r="CQ26">
            <v>412</v>
          </cell>
          <cell r="CR26" t="str">
            <v>PLM</v>
          </cell>
          <cell r="CS26" t="str">
            <v>PLM</v>
          </cell>
          <cell r="CT26" t="str">
            <v>נועה</v>
          </cell>
          <cell r="CU26" t="str">
            <v>גדז'</v>
          </cell>
          <cell r="CV26">
            <v>14478.012847700353</v>
          </cell>
          <cell r="DH26">
            <v>14478.012847700353</v>
          </cell>
        </row>
        <row r="27">
          <cell r="B27">
            <v>411</v>
          </cell>
          <cell r="C27" t="str">
            <v>Data Generation</v>
          </cell>
          <cell r="P27" t="str">
            <v>Corteva - IA</v>
          </cell>
          <cell r="Q27" t="str">
            <v>P145-Corteva - IA</v>
          </cell>
          <cell r="R27" t="str">
            <v>Lavie Bio</v>
          </cell>
          <cell r="S27" t="str">
            <v>P145</v>
          </cell>
          <cell r="BN27" t="str">
            <v>T207 - CP</v>
          </cell>
          <cell r="CQ27">
            <v>403</v>
          </cell>
          <cell r="CR27" t="str">
            <v>Algorithm</v>
          </cell>
          <cell r="CS27" t="str">
            <v>Algorithm Developer</v>
          </cell>
          <cell r="CT27" t="str">
            <v>ענת</v>
          </cell>
          <cell r="CU27" t="str">
            <v>מעוז</v>
          </cell>
          <cell r="CV27">
            <v>45577.652492001231</v>
          </cell>
          <cell r="CW27">
            <v>45577.652492001231</v>
          </cell>
          <cell r="CX27">
            <v>45577.652492001231</v>
          </cell>
          <cell r="CY27">
            <v>45577.652492001231</v>
          </cell>
          <cell r="CZ27">
            <v>45577.652492001231</v>
          </cell>
          <cell r="DA27">
            <v>45577.652492001231</v>
          </cell>
          <cell r="DB27">
            <v>45577.652492001231</v>
          </cell>
          <cell r="DC27">
            <v>45577.652492001231</v>
          </cell>
          <cell r="DD27">
            <v>45577.652492001231</v>
          </cell>
          <cell r="DE27">
            <v>45577.652492001231</v>
          </cell>
          <cell r="DF27">
            <v>45577.652492001231</v>
          </cell>
          <cell r="DG27">
            <v>45577.652492001231</v>
          </cell>
          <cell r="DH27">
            <v>546931.82990401483</v>
          </cell>
        </row>
        <row r="28">
          <cell r="B28">
            <v>420</v>
          </cell>
          <cell r="C28" t="str">
            <v>DevOps</v>
          </cell>
          <cell r="P28" t="str">
            <v>Thrivus</v>
          </cell>
          <cell r="Q28" t="str">
            <v>P19 - Thrivus</v>
          </cell>
          <cell r="R28" t="str">
            <v>Lavie Bio</v>
          </cell>
          <cell r="S28" t="str">
            <v>P19</v>
          </cell>
          <cell r="BN28" t="str">
            <v>T208 - MB</v>
          </cell>
          <cell r="BW28">
            <v>0</v>
          </cell>
          <cell r="CQ28">
            <v>418</v>
          </cell>
          <cell r="CR28" t="str">
            <v>Plant Growth</v>
          </cell>
          <cell r="CS28" t="str">
            <v>Agronomist</v>
          </cell>
          <cell r="CT28" t="str">
            <v>עופרי</v>
          </cell>
          <cell r="CU28" t="str">
            <v>גרסון</v>
          </cell>
          <cell r="CV28">
            <v>22213.437035542222</v>
          </cell>
          <cell r="CW28">
            <v>22213.437035542222</v>
          </cell>
          <cell r="CX28">
            <v>22213.437035542222</v>
          </cell>
          <cell r="CY28">
            <v>22213.437035542222</v>
          </cell>
          <cell r="CZ28">
            <v>22213.437035542222</v>
          </cell>
          <cell r="DA28">
            <v>22213.437035542222</v>
          </cell>
          <cell r="DB28">
            <v>22213.437035542222</v>
          </cell>
          <cell r="DC28">
            <v>22213.437035542222</v>
          </cell>
          <cell r="DD28">
            <v>22213.437035542222</v>
          </cell>
          <cell r="DE28">
            <v>22213.437035542222</v>
          </cell>
          <cell r="DF28">
            <v>22213.437035542222</v>
          </cell>
          <cell r="DG28">
            <v>22213.437035542222</v>
          </cell>
          <cell r="DH28">
            <v>266561.24442650663</v>
          </cell>
        </row>
        <row r="29">
          <cell r="B29">
            <v>650</v>
          </cell>
          <cell r="C29" t="str">
            <v>Evogene CSO</v>
          </cell>
          <cell r="P29" t="str">
            <v>Lavie_programs</v>
          </cell>
          <cell r="Q29" t="str">
            <v>P192-Lavie programs</v>
          </cell>
          <cell r="R29" t="str">
            <v>Lavie Bio</v>
          </cell>
          <cell r="S29" t="str">
            <v>P192</v>
          </cell>
          <cell r="BN29" t="str">
            <v>T209 - Computational</v>
          </cell>
          <cell r="BW29">
            <v>169800.13790565703</v>
          </cell>
          <cell r="CQ29">
            <v>405</v>
          </cell>
          <cell r="CR29" t="str">
            <v>Bioinformatics</v>
          </cell>
          <cell r="CS29" t="str">
            <v xml:space="preserve">Bioinformatician </v>
          </cell>
          <cell r="CT29" t="str">
            <v>מיכל</v>
          </cell>
          <cell r="CU29" t="str">
            <v>אביצור</v>
          </cell>
          <cell r="CV29">
            <v>32521.819031167513</v>
          </cell>
          <cell r="CW29">
            <v>32521.819031167513</v>
          </cell>
          <cell r="CX29">
            <v>32521.819031167513</v>
          </cell>
          <cell r="CY29">
            <v>32521.819031167513</v>
          </cell>
          <cell r="CZ29">
            <v>32521.819031167513</v>
          </cell>
          <cell r="DA29">
            <v>32521.819031167513</v>
          </cell>
          <cell r="DB29">
            <v>32521.819031167513</v>
          </cell>
          <cell r="DC29">
            <v>32521.819031167513</v>
          </cell>
          <cell r="DD29">
            <v>32521.819031167513</v>
          </cell>
          <cell r="DE29">
            <v>32521.819031167513</v>
          </cell>
          <cell r="DF29">
            <v>32521.819031167513</v>
          </cell>
          <cell r="DG29">
            <v>32521.819031167513</v>
          </cell>
          <cell r="DH29">
            <v>390261.82837401028</v>
          </cell>
        </row>
        <row r="30">
          <cell r="B30">
            <v>997</v>
          </cell>
          <cell r="C30" t="str">
            <v>Evogene INC</v>
          </cell>
          <cell r="P30" t="str">
            <v>ICL</v>
          </cell>
          <cell r="Q30" t="str">
            <v>P82 - ICL</v>
          </cell>
          <cell r="R30" t="str">
            <v>Lavie Bio</v>
          </cell>
          <cell r="S30" t="str">
            <v>P82</v>
          </cell>
          <cell r="BN30" t="str">
            <v>T210 - Experimnetal</v>
          </cell>
          <cell r="BW30">
            <v>96145.590428106036</v>
          </cell>
          <cell r="CQ30">
            <v>403</v>
          </cell>
          <cell r="CR30" t="str">
            <v>Algorithm</v>
          </cell>
          <cell r="CS30" t="str">
            <v>Algorithm Developer</v>
          </cell>
          <cell r="CT30" t="str">
            <v xml:space="preserve">איתי </v>
          </cell>
          <cell r="CU30" t="str">
            <v>רוט</v>
          </cell>
          <cell r="CV30">
            <v>36615.986405417629</v>
          </cell>
          <cell r="CW30">
            <v>36615.986405417629</v>
          </cell>
          <cell r="CX30">
            <v>36615.986405417629</v>
          </cell>
          <cell r="CY30">
            <v>36615.986405417629</v>
          </cell>
          <cell r="CZ30">
            <v>36615.986405417629</v>
          </cell>
          <cell r="DA30">
            <v>36615.986405417629</v>
          </cell>
          <cell r="DB30">
            <v>36615.986405417629</v>
          </cell>
          <cell r="DC30">
            <v>36615.986405417629</v>
          </cell>
          <cell r="DD30">
            <v>36615.986405417629</v>
          </cell>
          <cell r="DE30">
            <v>36615.986405417629</v>
          </cell>
          <cell r="DF30">
            <v>36615.986405417629</v>
          </cell>
          <cell r="DG30">
            <v>36615.986405417629</v>
          </cell>
          <cell r="DH30">
            <v>439391.83686501143</v>
          </cell>
        </row>
        <row r="31">
          <cell r="B31">
            <v>607</v>
          </cell>
          <cell r="C31" t="str">
            <v>Finance</v>
          </cell>
          <cell r="P31" t="str">
            <v>Product-CP</v>
          </cell>
          <cell r="Q31" t="str">
            <v>P264 - Product-CP</v>
          </cell>
          <cell r="R31" t="str">
            <v>Product</v>
          </cell>
          <cell r="S31" t="str">
            <v>P264</v>
          </cell>
          <cell r="BN31" t="str">
            <v>T299 - Margin CPB</v>
          </cell>
          <cell r="BO31" t="str">
            <v>Margin CPB Fixed cost</v>
          </cell>
          <cell r="BP31" t="str">
            <v>B40/22.P997.422.XXX-T299</v>
          </cell>
          <cell r="BQ31" t="str">
            <v>Fixed - Specific</v>
          </cell>
          <cell r="BR31" t="str">
            <v>422</v>
          </cell>
          <cell r="BS31" t="str">
            <v>B40</v>
          </cell>
          <cell r="BT31" t="str">
            <v>CPB</v>
          </cell>
          <cell r="BU31" t="str">
            <v>Evogene service</v>
          </cell>
          <cell r="BV31" t="str">
            <v>Period</v>
          </cell>
          <cell r="BW31">
            <v>0</v>
          </cell>
          <cell r="CQ31">
            <v>415</v>
          </cell>
          <cell r="CR31" t="str">
            <v>Phytopathology Lab</v>
          </cell>
          <cell r="CS31" t="str">
            <v>Phytopathology Team Leader</v>
          </cell>
          <cell r="CT31" t="str">
            <v xml:space="preserve">לנה </v>
          </cell>
          <cell r="CU31" t="str">
            <v>קוגן</v>
          </cell>
          <cell r="CV31">
            <v>15872.14681416705</v>
          </cell>
          <cell r="CW31">
            <v>15872.14681416705</v>
          </cell>
          <cell r="CX31">
            <v>15872.14681416705</v>
          </cell>
          <cell r="CY31">
            <v>15872.14681416705</v>
          </cell>
          <cell r="CZ31">
            <v>15872.14681416705</v>
          </cell>
          <cell r="DA31">
            <v>15872.14681416705</v>
          </cell>
          <cell r="DB31">
            <v>15872.14681416705</v>
          </cell>
          <cell r="DC31">
            <v>15872.14681416705</v>
          </cell>
          <cell r="DD31">
            <v>15872.14681416705</v>
          </cell>
          <cell r="DE31">
            <v>15872.14681416705</v>
          </cell>
          <cell r="DF31">
            <v>15872.14681416705</v>
          </cell>
          <cell r="DG31">
            <v>15872.14681416705</v>
          </cell>
          <cell r="DH31">
            <v>190465.76177000464</v>
          </cell>
        </row>
        <row r="32">
          <cell r="B32">
            <v>603</v>
          </cell>
          <cell r="C32" t="str">
            <v>HR</v>
          </cell>
          <cell r="P32" t="str">
            <v>Product- MB</v>
          </cell>
          <cell r="Q32" t="str">
            <v>P265 - Product- MB</v>
          </cell>
          <cell r="R32" t="str">
            <v>Product</v>
          </cell>
          <cell r="S32" t="str">
            <v>P265</v>
          </cell>
          <cell r="BN32" t="str">
            <v>T301 - Green House Controlled</v>
          </cell>
          <cell r="BO32" t="str">
            <v>Green House Controlled Fixed cost  Per annual 50 SQM</v>
          </cell>
          <cell r="BP32" t="str">
            <v>B90/22.P997.425.XXX-T301</v>
          </cell>
          <cell r="BQ32" t="str">
            <v>Annual per unit</v>
          </cell>
          <cell r="BR32" t="str">
            <v>425</v>
          </cell>
          <cell r="BS32" t="str">
            <v>B90</v>
          </cell>
          <cell r="BT32" t="str">
            <v>CPB</v>
          </cell>
          <cell r="BU32" t="str">
            <v>Evogene service</v>
          </cell>
          <cell r="BV32" t="str">
            <v>Period</v>
          </cell>
          <cell r="BW32">
            <v>1250</v>
          </cell>
          <cell r="CQ32">
            <v>405</v>
          </cell>
          <cell r="CR32" t="str">
            <v>Bioinformatics</v>
          </cell>
          <cell r="CS32" t="str">
            <v xml:space="preserve">Head of Bioinformatics </v>
          </cell>
          <cell r="CT32" t="str">
            <v xml:space="preserve">גל </v>
          </cell>
          <cell r="CU32" t="str">
            <v>אביטל</v>
          </cell>
          <cell r="CV32">
            <v>42040.971477751118</v>
          </cell>
          <cell r="CW32">
            <v>42040.971477751118</v>
          </cell>
          <cell r="CX32">
            <v>42040.971477751118</v>
          </cell>
          <cell r="CY32">
            <v>42040.971477751118</v>
          </cell>
          <cell r="CZ32">
            <v>42040.971477751118</v>
          </cell>
          <cell r="DA32">
            <v>42040.971477751118</v>
          </cell>
          <cell r="DB32">
            <v>42040.971477751118</v>
          </cell>
          <cell r="DC32">
            <v>42040.971477751118</v>
          </cell>
          <cell r="DD32">
            <v>42040.971477751118</v>
          </cell>
          <cell r="DE32">
            <v>42040.971477751118</v>
          </cell>
          <cell r="DF32">
            <v>42040.971477751118</v>
          </cell>
          <cell r="DG32">
            <v>42040.971477751118</v>
          </cell>
          <cell r="DH32">
            <v>504491.65773301333</v>
          </cell>
        </row>
        <row r="33">
          <cell r="B33">
            <v>605</v>
          </cell>
          <cell r="C33" t="str">
            <v>IP</v>
          </cell>
          <cell r="P33" t="str">
            <v>Product- GR</v>
          </cell>
          <cell r="Q33" t="str">
            <v>P266 - Product- GR</v>
          </cell>
          <cell r="R33" t="str">
            <v>Product</v>
          </cell>
          <cell r="S33" t="str">
            <v>P266</v>
          </cell>
          <cell r="BN33" t="str">
            <v>T302 - Green House Non-Controlled</v>
          </cell>
          <cell r="BO33" t="str">
            <v>Green House Non-Controlled Fixed cost  Per annual 200 SQM</v>
          </cell>
          <cell r="BP33" t="str">
            <v>B90/22.P997.425.XXX-T302</v>
          </cell>
          <cell r="BQ33" t="str">
            <v>Annual per unit</v>
          </cell>
          <cell r="BR33" t="str">
            <v>425</v>
          </cell>
          <cell r="BS33" t="str">
            <v>B90</v>
          </cell>
          <cell r="BT33" t="str">
            <v>CPB</v>
          </cell>
          <cell r="BU33" t="str">
            <v>Evogene service</v>
          </cell>
          <cell r="BV33" t="str">
            <v>Period</v>
          </cell>
          <cell r="CQ33">
            <v>410</v>
          </cell>
          <cell r="CR33" t="str">
            <v>Data Generation</v>
          </cell>
          <cell r="CS33" t="str">
            <v>Data Generation Technician</v>
          </cell>
          <cell r="CT33" t="str">
            <v>רביב</v>
          </cell>
          <cell r="CU33" t="str">
            <v>שירזי</v>
          </cell>
          <cell r="CV33">
            <v>16315.205643208736</v>
          </cell>
          <cell r="CW33">
            <v>16315.205643208736</v>
          </cell>
          <cell r="CX33">
            <v>16315.205643208736</v>
          </cell>
          <cell r="CY33">
            <v>16315.205643208736</v>
          </cell>
          <cell r="CZ33">
            <v>16315.205643208736</v>
          </cell>
          <cell r="DA33">
            <v>16315.205643208736</v>
          </cell>
          <cell r="DB33">
            <v>16315.205643208736</v>
          </cell>
          <cell r="DC33">
            <v>16315.205643208736</v>
          </cell>
          <cell r="DD33">
            <v>16315.205643208736</v>
          </cell>
          <cell r="DE33">
            <v>16315.205643208736</v>
          </cell>
          <cell r="DF33">
            <v>16315.205643208736</v>
          </cell>
          <cell r="DG33">
            <v>16315.205643208736</v>
          </cell>
          <cell r="DH33">
            <v>195782.46771850481</v>
          </cell>
        </row>
        <row r="34">
          <cell r="B34">
            <v>609</v>
          </cell>
          <cell r="C34" t="str">
            <v>IP Part time</v>
          </cell>
          <cell r="P34" t="str">
            <v xml:space="preserve">Product- Upkeep GR </v>
          </cell>
          <cell r="Q34" t="str">
            <v xml:space="preserve">P272 - Product- Upkeep GR </v>
          </cell>
          <cell r="R34" t="str">
            <v>Product</v>
          </cell>
          <cell r="S34" t="str">
            <v>P272</v>
          </cell>
          <cell r="BN34" t="str">
            <v>T303 - Office utilities</v>
          </cell>
          <cell r="BO34" t="str">
            <v>Office utilities Fixed cost</v>
          </cell>
          <cell r="BP34" t="str">
            <v>B90/22.P997.425.XXX-T303</v>
          </cell>
          <cell r="BQ34" t="str">
            <v>Fixed - Specific</v>
          </cell>
          <cell r="BR34" t="str">
            <v>425</v>
          </cell>
          <cell r="BS34" t="str">
            <v>B90</v>
          </cell>
          <cell r="BT34" t="str">
            <v>Corporate</v>
          </cell>
          <cell r="BU34" t="str">
            <v>Evogene service</v>
          </cell>
          <cell r="BV34" t="str">
            <v>Period</v>
          </cell>
          <cell r="BW34">
            <v>297485.09727340913</v>
          </cell>
          <cell r="CQ34">
            <v>412</v>
          </cell>
          <cell r="CR34" t="str">
            <v>PLM</v>
          </cell>
          <cell r="CS34" t="str">
            <v>PLM</v>
          </cell>
          <cell r="CT34" t="str">
            <v>שני</v>
          </cell>
          <cell r="CU34" t="str">
            <v>מוזס</v>
          </cell>
          <cell r="CV34">
            <v>16473.915643208737</v>
          </cell>
          <cell r="CW34">
            <v>16473.915643208737</v>
          </cell>
          <cell r="CX34">
            <v>16473.915643208737</v>
          </cell>
          <cell r="CY34">
            <v>16473.915643208737</v>
          </cell>
          <cell r="CZ34">
            <v>16473.915643208737</v>
          </cell>
          <cell r="DA34">
            <v>16473.915643208737</v>
          </cell>
          <cell r="DB34">
            <v>16473.915643208737</v>
          </cell>
          <cell r="DC34">
            <v>16473.915643208737</v>
          </cell>
          <cell r="DD34">
            <v>16473.915643208737</v>
          </cell>
          <cell r="DE34">
            <v>16473.915643208737</v>
          </cell>
          <cell r="DF34">
            <v>16473.915643208737</v>
          </cell>
          <cell r="DG34">
            <v>16473.915643208737</v>
          </cell>
          <cell r="DH34">
            <v>197686.98771850488</v>
          </cell>
        </row>
        <row r="35">
          <cell r="B35">
            <v>606</v>
          </cell>
          <cell r="C35" t="str">
            <v>IR\PR</v>
          </cell>
          <cell r="P35" t="str">
            <v xml:space="preserve">Product- Upkeep MB </v>
          </cell>
          <cell r="Q35" t="str">
            <v xml:space="preserve">P273 - Product- Upkeep MB </v>
          </cell>
          <cell r="R35" t="str">
            <v>Product</v>
          </cell>
          <cell r="S35" t="str">
            <v>P273</v>
          </cell>
          <cell r="BN35" t="str">
            <v>T304 - Labs utilities</v>
          </cell>
          <cell r="BO35" t="str">
            <v>Labs utilities Fixed cost</v>
          </cell>
          <cell r="BP35" t="str">
            <v>B90/22.P997.425.XXX-T304</v>
          </cell>
          <cell r="BQ35" t="str">
            <v>Fixed - Specific</v>
          </cell>
          <cell r="BR35" t="str">
            <v>425</v>
          </cell>
          <cell r="BS35" t="str">
            <v>B90</v>
          </cell>
          <cell r="BT35" t="str">
            <v>Corporate</v>
          </cell>
          <cell r="BU35" t="str">
            <v>Evogene service</v>
          </cell>
          <cell r="BV35" t="str">
            <v>Period</v>
          </cell>
          <cell r="BW35">
            <v>501553.86773039057</v>
          </cell>
          <cell r="CQ35">
            <v>410</v>
          </cell>
          <cell r="CR35" t="str">
            <v>Data Generation</v>
          </cell>
          <cell r="CS35" t="str">
            <v>Data Generation Tech</v>
          </cell>
          <cell r="CT35" t="str">
            <v>עוז</v>
          </cell>
          <cell r="CU35" t="str">
            <v>פוזנר</v>
          </cell>
          <cell r="CV35">
            <v>15031.172425125362</v>
          </cell>
          <cell r="CW35">
            <v>15031.172425125362</v>
          </cell>
          <cell r="CX35">
            <v>15031.172425125362</v>
          </cell>
          <cell r="CY35">
            <v>15031.172425125362</v>
          </cell>
          <cell r="CZ35">
            <v>15031.172425125362</v>
          </cell>
          <cell r="DA35">
            <v>15031.172425125362</v>
          </cell>
          <cell r="DB35">
            <v>15031.172425125362</v>
          </cell>
          <cell r="DC35">
            <v>15031.172425125362</v>
          </cell>
          <cell r="DD35">
            <v>15031.172425125362</v>
          </cell>
          <cell r="DE35">
            <v>15031.172425125362</v>
          </cell>
          <cell r="DF35">
            <v>15031.172425125362</v>
          </cell>
          <cell r="DG35">
            <v>15031.172425125362</v>
          </cell>
          <cell r="DH35">
            <v>180374.0691015044</v>
          </cell>
        </row>
        <row r="36">
          <cell r="B36">
            <v>421</v>
          </cell>
          <cell r="C36" t="str">
            <v>IT</v>
          </cell>
          <cell r="P36" t="str">
            <v xml:space="preserve">Product- Upkeep CP </v>
          </cell>
          <cell r="Q36" t="str">
            <v xml:space="preserve">P274 - Product- Upkeep CP </v>
          </cell>
          <cell r="R36" t="str">
            <v>Product</v>
          </cell>
          <cell r="S36" t="str">
            <v>P274</v>
          </cell>
          <cell r="BN36" t="str">
            <v>T399 - Margin Operation</v>
          </cell>
          <cell r="BO36" t="str">
            <v>Margin Operation Fixed cost</v>
          </cell>
          <cell r="BP36" t="str">
            <v>B90/22.P997.425.XXX-T399</v>
          </cell>
          <cell r="BQ36" t="str">
            <v>Fixed - Specific</v>
          </cell>
          <cell r="BR36" t="str">
            <v>425</v>
          </cell>
          <cell r="BS36" t="str">
            <v>B90</v>
          </cell>
          <cell r="BT36" t="str">
            <v>Corporate</v>
          </cell>
          <cell r="BU36" t="str">
            <v>Evogene service</v>
          </cell>
          <cell r="BV36" t="str">
            <v>Period</v>
          </cell>
          <cell r="BW36">
            <v>0</v>
          </cell>
          <cell r="CQ36">
            <v>413</v>
          </cell>
          <cell r="CR36" t="str">
            <v>Molecular lab</v>
          </cell>
          <cell r="CS36" t="str">
            <v>Technician</v>
          </cell>
          <cell r="CT36" t="str">
            <v>טל</v>
          </cell>
          <cell r="CU36" t="str">
            <v>מאיר</v>
          </cell>
          <cell r="CV36">
            <v>13585.760727041994</v>
          </cell>
          <cell r="CW36">
            <v>13585.760727041994</v>
          </cell>
          <cell r="CX36">
            <v>13585.760727041994</v>
          </cell>
          <cell r="CY36">
            <v>13585.760727041994</v>
          </cell>
          <cell r="CZ36">
            <v>13585.760727041994</v>
          </cell>
          <cell r="DA36">
            <v>13585.760727041994</v>
          </cell>
          <cell r="DB36">
            <v>13585.760727041994</v>
          </cell>
          <cell r="DC36">
            <v>13585.760727041994</v>
          </cell>
          <cell r="DD36">
            <v>13585.760727041994</v>
          </cell>
          <cell r="DE36">
            <v>13585.760727041994</v>
          </cell>
          <cell r="DF36">
            <v>13585.760727041994</v>
          </cell>
          <cell r="DG36">
            <v>13585.760727041994</v>
          </cell>
          <cell r="DH36">
            <v>163029.12872450391</v>
          </cell>
        </row>
        <row r="37">
          <cell r="B37">
            <v>102</v>
          </cell>
          <cell r="C37" t="str">
            <v>Lavie Bio BD .LTD</v>
          </cell>
          <cell r="P37" t="str">
            <v>CrisprIL_WP1</v>
          </cell>
          <cell r="Q37" t="str">
            <v>P277 - CrisprIL_WP1</v>
          </cell>
          <cell r="R37" t="str">
            <v>Product</v>
          </cell>
          <cell r="S37" t="str">
            <v>P277</v>
          </cell>
          <cell r="BN37" t="str">
            <v>T901 - Finance &amp; Purchasing &amp;D&amp;O</v>
          </cell>
          <cell r="BP37" t="str">
            <v>B90/62.P997.607.XXX-T901</v>
          </cell>
          <cell r="BQ37" t="str">
            <v>Per 1 organic FTE</v>
          </cell>
          <cell r="BR37" t="str">
            <v>607</v>
          </cell>
          <cell r="BS37" t="str">
            <v>B90</v>
          </cell>
          <cell r="BT37" t="str">
            <v>Corporate</v>
          </cell>
          <cell r="BU37" t="str">
            <v>Evogene service</v>
          </cell>
          <cell r="BV37" t="str">
            <v>Period</v>
          </cell>
          <cell r="BW37">
            <v>163674.41860465117</v>
          </cell>
          <cell r="CQ37">
            <v>405</v>
          </cell>
          <cell r="CR37" t="str">
            <v>Bioinformatics</v>
          </cell>
          <cell r="CS37" t="str">
            <v xml:space="preserve">Bioinformatician </v>
          </cell>
          <cell r="CT37" t="str">
            <v>איליה</v>
          </cell>
          <cell r="CU37" t="str">
            <v>בורגסדורף</v>
          </cell>
          <cell r="CV37">
            <v>31123.202573084141</v>
          </cell>
          <cell r="CW37">
            <v>31123.202573084141</v>
          </cell>
          <cell r="CX37">
            <v>31123.202573084141</v>
          </cell>
          <cell r="CY37">
            <v>31123.202573084141</v>
          </cell>
          <cell r="CZ37">
            <v>31123.202573084141</v>
          </cell>
          <cell r="DA37">
            <v>31123.202573084141</v>
          </cell>
          <cell r="DB37">
            <v>31123.202573084141</v>
          </cell>
          <cell r="DC37">
            <v>31123.202573084141</v>
          </cell>
          <cell r="DD37">
            <v>31123.202573084141</v>
          </cell>
          <cell r="DE37">
            <v>31123.202573084141</v>
          </cell>
          <cell r="DF37">
            <v>31123.202573084141</v>
          </cell>
          <cell r="DG37">
            <v>31123.202573084141</v>
          </cell>
          <cell r="DH37">
            <v>373478.43087700981</v>
          </cell>
        </row>
        <row r="38">
          <cell r="B38">
            <v>105</v>
          </cell>
          <cell r="C38" t="str">
            <v>Lavie Bio Development .LTD</v>
          </cell>
          <cell r="P38" t="str">
            <v>CrisprIL_WP4</v>
          </cell>
          <cell r="Q38" t="str">
            <v>P278 - CrisprIL_WP4</v>
          </cell>
          <cell r="R38" t="str">
            <v>Product</v>
          </cell>
          <cell r="S38" t="str">
            <v>P278</v>
          </cell>
          <cell r="BN38" t="str">
            <v>T902 - HR</v>
          </cell>
          <cell r="BP38" t="str">
            <v>B90/62.P997.603.XXX-T902</v>
          </cell>
          <cell r="BQ38" t="str">
            <v>Per 1 organic FTE</v>
          </cell>
          <cell r="BR38" t="str">
            <v>603</v>
          </cell>
          <cell r="BS38" t="str">
            <v>B90</v>
          </cell>
          <cell r="BT38" t="str">
            <v>Corporate</v>
          </cell>
          <cell r="BU38" t="str">
            <v>Evogene service</v>
          </cell>
          <cell r="BV38" t="str">
            <v>Period</v>
          </cell>
          <cell r="BW38">
            <v>138213.95348837212</v>
          </cell>
          <cell r="CQ38">
            <v>406</v>
          </cell>
          <cell r="CR38" t="str">
            <v>Software Development</v>
          </cell>
          <cell r="CS38" t="str">
            <v>Full Stack Developer</v>
          </cell>
          <cell r="CT38" t="str">
            <v>נריה</v>
          </cell>
          <cell r="CU38" t="str">
            <v>סיון</v>
          </cell>
          <cell r="CV38">
            <v>21975.272029733886</v>
          </cell>
          <cell r="CW38">
            <v>21975.272029733886</v>
          </cell>
          <cell r="CX38">
            <v>21975.272029733886</v>
          </cell>
          <cell r="CY38">
            <v>21975.272029733886</v>
          </cell>
          <cell r="CZ38">
            <v>21975.272029733886</v>
          </cell>
          <cell r="DA38">
            <v>21975.272029733886</v>
          </cell>
          <cell r="DB38">
            <v>21975.272029733886</v>
          </cell>
          <cell r="DC38">
            <v>21975.272029733886</v>
          </cell>
          <cell r="DD38">
            <v>21975.272029733886</v>
          </cell>
          <cell r="DE38">
            <v>21975.272029733886</v>
          </cell>
          <cell r="DF38">
            <v>21975.272029733886</v>
          </cell>
          <cell r="DG38">
            <v>21975.272029733886</v>
          </cell>
          <cell r="DH38">
            <v>263703.2643568067</v>
          </cell>
        </row>
        <row r="39">
          <cell r="B39">
            <v>101</v>
          </cell>
          <cell r="C39" t="str">
            <v xml:space="preserve"> Lavie Bio Exec. MGMT</v>
          </cell>
          <cell r="P39" t="str">
            <v>CrisprIL_Prediction</v>
          </cell>
          <cell r="Q39" t="str">
            <v>P280 - CrisprIL_Prediction</v>
          </cell>
          <cell r="R39" t="str">
            <v>Product</v>
          </cell>
          <cell r="S39" t="str">
            <v>P280</v>
          </cell>
          <cell r="BP39" t="str">
            <v>B90/22.P997.608.XXX-T903</v>
          </cell>
          <cell r="BQ39" t="str">
            <v>Per 1 organic FTE</v>
          </cell>
          <cell r="BR39" t="str">
            <v>608</v>
          </cell>
          <cell r="BS39" t="str">
            <v>B90</v>
          </cell>
          <cell r="BT39" t="str">
            <v>Corporate</v>
          </cell>
          <cell r="BU39" t="str">
            <v>Evogene service</v>
          </cell>
          <cell r="BV39" t="str">
            <v>Period</v>
          </cell>
          <cell r="CQ39">
            <v>420</v>
          </cell>
          <cell r="CR39" t="str">
            <v>DevOps</v>
          </cell>
          <cell r="CS39" t="str">
            <v>DevOps Engineer</v>
          </cell>
          <cell r="CT39" t="str">
            <v>ליאב</v>
          </cell>
          <cell r="CU39" t="str">
            <v>שפירא</v>
          </cell>
          <cell r="CV39">
            <v>49635.88146625134</v>
          </cell>
          <cell r="CW39">
            <v>49635.88146625134</v>
          </cell>
          <cell r="CX39">
            <v>49635.88146625134</v>
          </cell>
          <cell r="CY39">
            <v>49635.88146625134</v>
          </cell>
          <cell r="CZ39">
            <v>49635.88146625134</v>
          </cell>
          <cell r="DA39">
            <v>49635.88146625134</v>
          </cell>
          <cell r="DB39">
            <v>49635.88146625134</v>
          </cell>
          <cell r="DC39">
            <v>49635.88146625134</v>
          </cell>
          <cell r="DD39">
            <v>49635.88146625134</v>
          </cell>
          <cell r="DE39">
            <v>49635.88146625134</v>
          </cell>
          <cell r="DF39">
            <v>49635.88146625134</v>
          </cell>
          <cell r="DG39">
            <v>49635.88146625134</v>
          </cell>
          <cell r="DH39">
            <v>595630.5775950161</v>
          </cell>
        </row>
        <row r="40">
          <cell r="B40">
            <v>121</v>
          </cell>
          <cell r="C40" t="str">
            <v>Lavie Bio INC</v>
          </cell>
          <cell r="P40" t="str">
            <v>Product general</v>
          </cell>
          <cell r="Q40" t="str">
            <v>P282-Product general</v>
          </cell>
          <cell r="R40" t="str">
            <v>Product</v>
          </cell>
          <cell r="S40" t="str">
            <v>P282</v>
          </cell>
          <cell r="BN40" t="str">
            <v>T904 - IT</v>
          </cell>
          <cell r="BP40" t="str">
            <v>B40/22.P97.421.XXX-T904</v>
          </cell>
          <cell r="BQ40" t="str">
            <v>Per 1 organic FTE</v>
          </cell>
          <cell r="BR40" t="str">
            <v>421</v>
          </cell>
          <cell r="BS40" t="str">
            <v>B40</v>
          </cell>
          <cell r="BT40" t="str">
            <v>CPB</v>
          </cell>
          <cell r="BU40" t="str">
            <v>Evogene service</v>
          </cell>
          <cell r="BV40" t="str">
            <v>Period</v>
          </cell>
          <cell r="CQ40">
            <v>418</v>
          </cell>
          <cell r="CR40" t="str">
            <v>Plant Growth</v>
          </cell>
          <cell r="CS40" t="str">
            <v>Technician</v>
          </cell>
          <cell r="CT40" t="str">
            <v>בר</v>
          </cell>
          <cell r="CU40" t="str">
            <v>פרידמן</v>
          </cell>
          <cell r="CV40">
            <v>12360.620154766961</v>
          </cell>
          <cell r="CW40">
            <v>12360.620154766961</v>
          </cell>
          <cell r="CX40">
            <v>12360.620154766961</v>
          </cell>
          <cell r="CY40">
            <v>12360.620154766961</v>
          </cell>
          <cell r="CZ40">
            <v>12360.620154766961</v>
          </cell>
          <cell r="DA40">
            <v>12360.620154766961</v>
          </cell>
          <cell r="DB40">
            <v>12360.620154766961</v>
          </cell>
          <cell r="DC40">
            <v>12360.620154766961</v>
          </cell>
          <cell r="DD40">
            <v>12360.620154766961</v>
          </cell>
          <cell r="DE40">
            <v>12360.620154766961</v>
          </cell>
          <cell r="DF40">
            <v>12360.620154766961</v>
          </cell>
          <cell r="DG40">
            <v>12360.620154766961</v>
          </cell>
          <cell r="DH40">
            <v>148327.44185720352</v>
          </cell>
        </row>
        <row r="41">
          <cell r="B41">
            <v>123</v>
          </cell>
          <cell r="C41" t="str">
            <v>Lavie Bio INC Admin</v>
          </cell>
          <cell r="P41" t="str">
            <v>Services</v>
          </cell>
          <cell r="Q41" t="str">
            <v>P997 - Services</v>
          </cell>
          <cell r="S41" t="str">
            <v>P997</v>
          </cell>
          <cell r="BN41" t="str">
            <v>T905 - IP</v>
          </cell>
          <cell r="BP41" t="str">
            <v>B90/22.P997.609.XXX-T905</v>
          </cell>
          <cell r="BQ41" t="str">
            <v>Per 1 organic FTE</v>
          </cell>
          <cell r="BR41" t="str">
            <v>609</v>
          </cell>
          <cell r="BS41" t="str">
            <v>B90</v>
          </cell>
          <cell r="BT41" t="str">
            <v>Corporate</v>
          </cell>
          <cell r="BU41" t="str">
            <v>Evogene service</v>
          </cell>
          <cell r="BV41" t="str">
            <v>Period</v>
          </cell>
          <cell r="BW41">
            <v>492.81512513468635</v>
          </cell>
          <cell r="CQ41">
            <v>413</v>
          </cell>
          <cell r="CR41" t="str">
            <v>Molecular lab</v>
          </cell>
          <cell r="CS41" t="str">
            <v>Biochemistry Researcher</v>
          </cell>
          <cell r="CT41" t="str">
            <v xml:space="preserve">שי </v>
          </cell>
          <cell r="CU41" t="str">
            <v>שליסל</v>
          </cell>
          <cell r="CV41">
            <v>29724.586115000769</v>
          </cell>
          <cell r="CW41">
            <v>29724.586115000769</v>
          </cell>
          <cell r="CX41">
            <v>29724.586115000769</v>
          </cell>
          <cell r="CY41">
            <v>29724.586115000769</v>
          </cell>
          <cell r="CZ41">
            <v>29724.586115000769</v>
          </cell>
          <cell r="DA41">
            <v>29724.586115000769</v>
          </cell>
          <cell r="DB41">
            <v>29724.586115000769</v>
          </cell>
          <cell r="DC41">
            <v>29724.586115000769</v>
          </cell>
          <cell r="DD41">
            <v>29724.586115000769</v>
          </cell>
          <cell r="DE41">
            <v>29724.586115000769</v>
          </cell>
          <cell r="DF41">
            <v>29724.586115000769</v>
          </cell>
          <cell r="DG41">
            <v>29724.586115000769</v>
          </cell>
          <cell r="DH41">
            <v>356695.03338000923</v>
          </cell>
        </row>
        <row r="42">
          <cell r="B42">
            <v>122</v>
          </cell>
          <cell r="C42" t="str">
            <v>Lavie Bio BD .INC</v>
          </cell>
          <cell r="P42" t="str">
            <v>Salaries</v>
          </cell>
          <cell r="Q42" t="str">
            <v>P998 - Salaries</v>
          </cell>
          <cell r="S42" t="str">
            <v>P998</v>
          </cell>
          <cell r="BP42" t="str">
            <v>B90/62.P997.607.XXX-T911</v>
          </cell>
          <cell r="BQ42" t="str">
            <v>Per Company</v>
          </cell>
          <cell r="BR42" t="str">
            <v>607</v>
          </cell>
          <cell r="BS42" t="str">
            <v>B90</v>
          </cell>
          <cell r="BT42" t="str">
            <v>Corporate</v>
          </cell>
          <cell r="BU42" t="str">
            <v>Evogene service</v>
          </cell>
          <cell r="BV42" t="str">
            <v>Period</v>
          </cell>
          <cell r="CQ42">
            <v>406</v>
          </cell>
          <cell r="CR42" t="str">
            <v>Software Development</v>
          </cell>
          <cell r="CS42" t="str">
            <v>Full Stack Developer</v>
          </cell>
          <cell r="CT42" t="str">
            <v>הודיה</v>
          </cell>
          <cell r="CU42" t="str">
            <v>מזרחי</v>
          </cell>
          <cell r="CV42">
            <v>49179.011866251334</v>
          </cell>
          <cell r="CW42">
            <v>49179.011866251334</v>
          </cell>
          <cell r="CX42">
            <v>49179.011866251334</v>
          </cell>
          <cell r="CY42">
            <v>49179.011866251334</v>
          </cell>
          <cell r="CZ42">
            <v>49179.011866251334</v>
          </cell>
          <cell r="DA42">
            <v>49179.011866251334</v>
          </cell>
          <cell r="DB42">
            <v>49179.011866251334</v>
          </cell>
          <cell r="DC42">
            <v>49179.011866251334</v>
          </cell>
          <cell r="DD42">
            <v>49179.011866251334</v>
          </cell>
          <cell r="DE42">
            <v>49179.011866251334</v>
          </cell>
          <cell r="DF42">
            <v>49179.011866251334</v>
          </cell>
          <cell r="DG42">
            <v>49179.011866251334</v>
          </cell>
          <cell r="DH42">
            <v>590148.14239501616</v>
          </cell>
        </row>
        <row r="43">
          <cell r="B43">
            <v>120</v>
          </cell>
          <cell r="C43" t="str">
            <v>Lavie Bio Management .INC</v>
          </cell>
          <cell r="P43" t="str">
            <v>General</v>
          </cell>
          <cell r="Q43" t="str">
            <v>P999 - General</v>
          </cell>
          <cell r="S43" t="str">
            <v>P999</v>
          </cell>
          <cell r="BN43" t="str">
            <v>T912 - IRPR</v>
          </cell>
          <cell r="BP43" t="str">
            <v>B90/62.P997.606.XXX-T912</v>
          </cell>
          <cell r="BQ43" t="str">
            <v>Fixed - Specific</v>
          </cell>
          <cell r="BR43" t="str">
            <v>606</v>
          </cell>
          <cell r="BS43" t="str">
            <v>B90</v>
          </cell>
          <cell r="BT43" t="str">
            <v>Corporate</v>
          </cell>
          <cell r="BU43" t="str">
            <v>Evogene service</v>
          </cell>
          <cell r="BV43" t="str">
            <v>Period</v>
          </cell>
          <cell r="BW43">
            <v>0</v>
          </cell>
          <cell r="CQ43">
            <v>405</v>
          </cell>
          <cell r="CR43" t="str">
            <v>Bioinformatics</v>
          </cell>
          <cell r="CS43" t="str">
            <v xml:space="preserve">Bioinformatician </v>
          </cell>
          <cell r="CT43" t="str">
            <v xml:space="preserve">ליאור </v>
          </cell>
          <cell r="CU43" t="str">
            <v>רוזנפלד</v>
          </cell>
          <cell r="CV43">
            <v>28064.652296917393</v>
          </cell>
          <cell r="CW43">
            <v>28064.652296917393</v>
          </cell>
          <cell r="CX43">
            <v>28064.652296917393</v>
          </cell>
          <cell r="CY43">
            <v>28064.652296917393</v>
          </cell>
          <cell r="CZ43">
            <v>28064.652296917393</v>
          </cell>
          <cell r="DA43">
            <v>28064.652296917393</v>
          </cell>
          <cell r="DB43">
            <v>28064.652296917393</v>
          </cell>
          <cell r="DC43">
            <v>28064.652296917393</v>
          </cell>
          <cell r="DD43">
            <v>28064.652296917393</v>
          </cell>
          <cell r="DE43">
            <v>28064.652296917393</v>
          </cell>
          <cell r="DF43">
            <v>28064.652296917393</v>
          </cell>
          <cell r="DG43">
            <v>28064.652296917393</v>
          </cell>
          <cell r="DH43">
            <v>336775.8275630087</v>
          </cell>
        </row>
        <row r="44">
          <cell r="B44">
            <v>108</v>
          </cell>
          <cell r="C44" t="str">
            <v>Lavie Bio Micro. Lab</v>
          </cell>
          <cell r="BN44" t="str">
            <v>T914 - Marcom</v>
          </cell>
          <cell r="BW44">
            <v>5000</v>
          </cell>
          <cell r="DH44">
            <v>14357804.11805715</v>
          </cell>
        </row>
        <row r="45">
          <cell r="B45">
            <v>103</v>
          </cell>
          <cell r="C45" t="str">
            <v>Lavie Bio PM</v>
          </cell>
          <cell r="BN45" t="str">
            <v>T913 - Legal</v>
          </cell>
          <cell r="BP45" t="str">
            <v>B90/62.P997.604.XXX-T913</v>
          </cell>
          <cell r="BQ45" t="str">
            <v>Fixed - Specific</v>
          </cell>
          <cell r="BR45" t="str">
            <v>604</v>
          </cell>
          <cell r="BS45" t="str">
            <v>B90</v>
          </cell>
          <cell r="BT45" t="str">
            <v>Corporate</v>
          </cell>
          <cell r="BU45" t="str">
            <v>Evogene service</v>
          </cell>
          <cell r="BV45" t="str">
            <v>Period</v>
          </cell>
          <cell r="BW45">
            <v>9000</v>
          </cell>
        </row>
        <row r="46">
          <cell r="B46">
            <v>109</v>
          </cell>
          <cell r="C46" t="str">
            <v xml:space="preserve">Lavie Bio Phyto. Lab </v>
          </cell>
          <cell r="BN46" t="str">
            <v>T999 - Margin Corporate</v>
          </cell>
          <cell r="BO46" t="str">
            <v>Margin Corporate Fixed cost</v>
          </cell>
          <cell r="BP46" t="str">
            <v>B90/62.P997.607.XXX-T999</v>
          </cell>
          <cell r="BQ46" t="str">
            <v>Fixed - Specific</v>
          </cell>
          <cell r="BR46" t="str">
            <v>607</v>
          </cell>
          <cell r="BS46" t="str">
            <v>B90</v>
          </cell>
          <cell r="BT46" t="str">
            <v>Corporate</v>
          </cell>
          <cell r="BU46" t="str">
            <v>Evogene service</v>
          </cell>
          <cell r="BV46" t="str">
            <v>Period</v>
          </cell>
          <cell r="BW46">
            <v>0</v>
          </cell>
          <cell r="CP46" t="str">
            <v xml:space="preserve">שם פרטי  שם משפחה </v>
          </cell>
          <cell r="CQ46" t="str">
            <v>Department number</v>
          </cell>
          <cell r="CR46" t="str">
            <v>Department</v>
          </cell>
          <cell r="CS46" t="str">
            <v>הגדרת תפקיד</v>
          </cell>
          <cell r="CT46" t="str">
            <v xml:space="preserve">שם פרטי </v>
          </cell>
          <cell r="CU46" t="str">
            <v xml:space="preserve">שם משפחה </v>
          </cell>
          <cell r="CV46" t="str">
            <v>ינואר</v>
          </cell>
          <cell r="CW46" t="str">
            <v>פברואר</v>
          </cell>
          <cell r="CX46" t="str">
            <v>מרץ</v>
          </cell>
          <cell r="CY46" t="str">
            <v>אפריל</v>
          </cell>
          <cell r="CZ46" t="str">
            <v>מאי</v>
          </cell>
          <cell r="DA46" t="str">
            <v>יוני</v>
          </cell>
          <cell r="DB46" t="str">
            <v>יולי</v>
          </cell>
          <cell r="DC46" t="str">
            <v>אוגוסט</v>
          </cell>
          <cell r="DD46" t="str">
            <v>ספטמבר</v>
          </cell>
          <cell r="DE46" t="str">
            <v>אוקטובר</v>
          </cell>
          <cell r="DF46" t="str">
            <v>נובמבר</v>
          </cell>
          <cell r="DG46" t="str">
            <v>דצמבר</v>
          </cell>
          <cell r="DH46" t="str">
            <v>סה"כ שנתי  - USD</v>
          </cell>
        </row>
        <row r="47">
          <cell r="B47">
            <v>107</v>
          </cell>
          <cell r="C47" t="str">
            <v>Lavie Bio RD MNG</v>
          </cell>
          <cell r="BN47" t="str">
            <v>E998 - Revenue+Grant</v>
          </cell>
          <cell r="BT47" t="str">
            <v>Revenue+Grant</v>
          </cell>
          <cell r="BU47" t="str">
            <v>External</v>
          </cell>
          <cell r="BW47">
            <v>0</v>
          </cell>
          <cell r="CP47" t="str">
            <v>מרק קפליוטסקה</v>
          </cell>
          <cell r="CQ47">
            <v>401</v>
          </cell>
          <cell r="CR47" t="str">
            <v>CPB-M Exec. MGMT</v>
          </cell>
          <cell r="CS47" t="str">
            <v>CTO</v>
          </cell>
          <cell r="CT47" t="str">
            <v>מרק</v>
          </cell>
          <cell r="CU47" t="str">
            <v>קפליוטסקה</v>
          </cell>
          <cell r="CV47">
            <v>16219.032448333739</v>
          </cell>
          <cell r="CW47">
            <v>16219.032448333739</v>
          </cell>
          <cell r="CX47">
            <v>16219.032448333739</v>
          </cell>
          <cell r="CY47">
            <v>16219.032448333739</v>
          </cell>
          <cell r="CZ47">
            <v>16219.032448333739</v>
          </cell>
          <cell r="DA47">
            <v>16219.032448333739</v>
          </cell>
          <cell r="DB47">
            <v>16219.032448333739</v>
          </cell>
          <cell r="DC47">
            <v>16219.032448333739</v>
          </cell>
          <cell r="DD47">
            <v>16219.032448333739</v>
          </cell>
          <cell r="DE47">
            <v>16219.032448333739</v>
          </cell>
          <cell r="DF47">
            <v>16219.032448333739</v>
          </cell>
          <cell r="DG47">
            <v>16219.032448333739</v>
          </cell>
          <cell r="DH47">
            <v>194628.38938000493</v>
          </cell>
        </row>
        <row r="48">
          <cell r="B48">
            <v>104</v>
          </cell>
          <cell r="C48" t="str">
            <v>Lavie Bio Research .LTD</v>
          </cell>
          <cell r="CP48" t="str">
            <v>נירן חי</v>
          </cell>
          <cell r="CQ48">
            <v>416</v>
          </cell>
          <cell r="CR48" t="str">
            <v>Tissue Culture</v>
          </cell>
          <cell r="CS48" t="str">
            <v>TC Team Leader</v>
          </cell>
          <cell r="CT48" t="str">
            <v>נירן</v>
          </cell>
          <cell r="CU48" t="str">
            <v>חי</v>
          </cell>
          <cell r="CV48">
            <v>6390.5944575124186</v>
          </cell>
          <cell r="CW48">
            <v>6390.5944575124186</v>
          </cell>
          <cell r="CX48">
            <v>6390.5944575124186</v>
          </cell>
          <cell r="CY48">
            <v>6390.5944575124186</v>
          </cell>
          <cell r="CZ48">
            <v>6390.5944575124186</v>
          </cell>
          <cell r="DA48">
            <v>6390.5944575124186</v>
          </cell>
          <cell r="DB48">
            <v>6390.5944575124186</v>
          </cell>
          <cell r="DC48">
            <v>6390.5944575124186</v>
          </cell>
          <cell r="DD48">
            <v>6390.5944575124186</v>
          </cell>
          <cell r="DE48">
            <v>6390.5944575124186</v>
          </cell>
          <cell r="DF48">
            <v>6390.5944575124186</v>
          </cell>
          <cell r="DG48">
            <v>6390.5944575124186</v>
          </cell>
          <cell r="DH48">
            <v>76687.133490149005</v>
          </cell>
        </row>
        <row r="49">
          <cell r="B49">
            <v>106</v>
          </cell>
          <cell r="C49" t="str">
            <v>Lavie Bio Systems</v>
          </cell>
          <cell r="CP49" t="str">
            <v>צ'ימי שירטה</v>
          </cell>
          <cell r="CQ49">
            <v>412</v>
          </cell>
          <cell r="CR49" t="str">
            <v>PLM</v>
          </cell>
          <cell r="CS49" t="str">
            <v>PLM</v>
          </cell>
          <cell r="CT49" t="str">
            <v>צ'ימי</v>
          </cell>
          <cell r="CU49" t="str">
            <v>שירטה</v>
          </cell>
          <cell r="CV49">
            <v>5286.9319407991534</v>
          </cell>
          <cell r="CW49">
            <v>5286.9319407991534</v>
          </cell>
          <cell r="CX49">
            <v>5286.9319407991534</v>
          </cell>
          <cell r="CY49">
            <v>5286.9319407991534</v>
          </cell>
          <cell r="CZ49">
            <v>5286.9319407991534</v>
          </cell>
          <cell r="DA49">
            <v>5286.9319407991534</v>
          </cell>
          <cell r="DB49">
            <v>5286.9319407991534</v>
          </cell>
          <cell r="DC49">
            <v>5286.9319407991534</v>
          </cell>
          <cell r="DD49">
            <v>5286.9319407991534</v>
          </cell>
          <cell r="DE49">
            <v>5286.9319407991534</v>
          </cell>
          <cell r="DF49">
            <v>5286.9319407991534</v>
          </cell>
          <cell r="DG49">
            <v>5286.9319407991534</v>
          </cell>
          <cell r="DH49">
            <v>63443.183289589855</v>
          </cell>
        </row>
        <row r="50">
          <cell r="B50">
            <v>604</v>
          </cell>
          <cell r="C50" t="str">
            <v>Legal</v>
          </cell>
          <cell r="CP50" t="str">
            <v>דשה אורצקי</v>
          </cell>
          <cell r="CQ50">
            <v>412</v>
          </cell>
          <cell r="CR50" t="str">
            <v>PLM</v>
          </cell>
          <cell r="CS50" t="str">
            <v>Seed Bank &amp; PLM Manager</v>
          </cell>
          <cell r="CT50" t="str">
            <v>דשה</v>
          </cell>
          <cell r="CU50" t="str">
            <v>אורצקי</v>
          </cell>
          <cell r="CV50">
            <v>6342.6381783825118</v>
          </cell>
          <cell r="CW50">
            <v>6342.6381783825118</v>
          </cell>
          <cell r="CX50">
            <v>6342.6381783825118</v>
          </cell>
          <cell r="CY50">
            <v>6342.6381783825118</v>
          </cell>
          <cell r="CZ50">
            <v>6342.6381783825118</v>
          </cell>
          <cell r="DA50">
            <v>6342.6381783825118</v>
          </cell>
          <cell r="DB50">
            <v>6342.6381783825118</v>
          </cell>
          <cell r="DC50">
            <v>6342.6381783825118</v>
          </cell>
          <cell r="DD50">
            <v>6342.6381783825118</v>
          </cell>
          <cell r="DE50">
            <v>6342.6381783825118</v>
          </cell>
          <cell r="DF50">
            <v>6342.6381783825118</v>
          </cell>
          <cell r="DG50">
            <v>6342.6381783825118</v>
          </cell>
          <cell r="DH50">
            <v>76111.658140590138</v>
          </cell>
        </row>
        <row r="51">
          <cell r="B51">
            <v>413</v>
          </cell>
          <cell r="C51" t="str">
            <v>Molecular Lab</v>
          </cell>
          <cell r="CP51" t="str">
            <v>עוז לסר</v>
          </cell>
          <cell r="CQ51">
            <v>418</v>
          </cell>
          <cell r="CR51" t="str">
            <v>Plant Growth</v>
          </cell>
          <cell r="CS51" t="str">
            <v>Senior Technician</v>
          </cell>
          <cell r="CT51" t="str">
            <v>עוז</v>
          </cell>
          <cell r="CU51" t="str">
            <v>לסר</v>
          </cell>
          <cell r="CV51">
            <v>5055.9326094854187</v>
          </cell>
          <cell r="CW51">
            <v>5055.9326094854187</v>
          </cell>
          <cell r="CX51">
            <v>5055.9326094854187</v>
          </cell>
          <cell r="CY51">
            <v>5055.9326094854187</v>
          </cell>
          <cell r="CZ51">
            <v>5055.9326094854187</v>
          </cell>
          <cell r="DA51">
            <v>5055.9326094854187</v>
          </cell>
          <cell r="DB51">
            <v>5055.9326094854187</v>
          </cell>
          <cell r="DC51">
            <v>5055.9326094854187</v>
          </cell>
          <cell r="DD51">
            <v>5055.9326094854187</v>
          </cell>
          <cell r="DE51">
            <v>5055.9326094854187</v>
          </cell>
          <cell r="DF51">
            <v>5055.9326094854187</v>
          </cell>
          <cell r="DG51">
            <v>5055.9326094854187</v>
          </cell>
          <cell r="DH51">
            <v>60671.191313825024</v>
          </cell>
        </row>
        <row r="52">
          <cell r="B52">
            <v>425</v>
          </cell>
          <cell r="C52" t="str">
            <v>Operations</v>
          </cell>
          <cell r="CP52" t="str">
            <v>סילביה שקד</v>
          </cell>
          <cell r="CQ52">
            <v>401</v>
          </cell>
          <cell r="CR52" t="str">
            <v>CPB-M Exec. MGMT</v>
          </cell>
          <cell r="CS52" t="str">
            <v>VP of Experimental Technologies</v>
          </cell>
          <cell r="CT52" t="str">
            <v>סילביה</v>
          </cell>
          <cell r="CU52" t="str">
            <v>שקד</v>
          </cell>
          <cell r="CV52">
            <v>13424.537756470951</v>
          </cell>
          <cell r="CW52">
            <v>13424.537756470951</v>
          </cell>
          <cell r="CX52">
            <v>13424.537756470951</v>
          </cell>
          <cell r="CY52">
            <v>13424.537756470951</v>
          </cell>
          <cell r="CZ52">
            <v>13424.537756470951</v>
          </cell>
          <cell r="DA52">
            <v>13424.537756470951</v>
          </cell>
          <cell r="DB52">
            <v>13424.537756470951</v>
          </cell>
          <cell r="DC52">
            <v>13424.537756470951</v>
          </cell>
          <cell r="DD52">
            <v>13424.537756470951</v>
          </cell>
          <cell r="DE52">
            <v>13424.537756470951</v>
          </cell>
          <cell r="DF52">
            <v>13424.537756470951</v>
          </cell>
          <cell r="DG52">
            <v>13424.537756470951</v>
          </cell>
          <cell r="DH52">
            <v>161094.45307765144</v>
          </cell>
        </row>
        <row r="53">
          <cell r="B53">
            <v>412</v>
          </cell>
          <cell r="C53" t="str">
            <v>PLM</v>
          </cell>
          <cell r="CP53" t="str">
            <v>מארק קצנלנבוגן</v>
          </cell>
          <cell r="CQ53">
            <v>405</v>
          </cell>
          <cell r="CR53" t="str">
            <v>Bioinformatics</v>
          </cell>
          <cell r="CS53" t="str">
            <v xml:space="preserve">Bioinformatician </v>
          </cell>
          <cell r="CT53" t="str">
            <v>מארק</v>
          </cell>
          <cell r="CU53" t="str">
            <v>קצנלנבוגן</v>
          </cell>
          <cell r="CV53">
            <v>10303.182856078702</v>
          </cell>
          <cell r="CW53">
            <v>10303.182856078702</v>
          </cell>
          <cell r="CX53">
            <v>10303.182856078702</v>
          </cell>
          <cell r="CY53">
            <v>10303.182856078702</v>
          </cell>
          <cell r="CZ53">
            <v>10303.182856078702</v>
          </cell>
          <cell r="DA53">
            <v>10303.182856078702</v>
          </cell>
          <cell r="DB53">
            <v>10303.182856078702</v>
          </cell>
          <cell r="DC53">
            <v>10303.182856078702</v>
          </cell>
          <cell r="DD53">
            <v>10303.182856078702</v>
          </cell>
          <cell r="DE53">
            <v>10303.182856078702</v>
          </cell>
          <cell r="DF53">
            <v>10303.182856078702</v>
          </cell>
          <cell r="DG53">
            <v>10303.182856078702</v>
          </cell>
          <cell r="DH53">
            <v>123638.1942729444</v>
          </cell>
        </row>
        <row r="54">
          <cell r="B54">
            <v>415</v>
          </cell>
          <cell r="C54" t="str">
            <v>Phytopathology Lab</v>
          </cell>
          <cell r="CP54" t="str">
            <v>איליה זידקוב</v>
          </cell>
          <cell r="CQ54">
            <v>401</v>
          </cell>
          <cell r="CR54" t="str">
            <v>CPB-M Exec. MGMT</v>
          </cell>
          <cell r="CS54" t="str">
            <v>VP of Computational Technologies</v>
          </cell>
          <cell r="CT54" t="str">
            <v>איליה</v>
          </cell>
          <cell r="CU54" t="str">
            <v>זידקוב</v>
          </cell>
          <cell r="CV54">
            <v>17438.392527304393</v>
          </cell>
          <cell r="CW54">
            <v>17438.392527304393</v>
          </cell>
          <cell r="CX54">
            <v>17438.392527304393</v>
          </cell>
          <cell r="CY54">
            <v>17438.392527304393</v>
          </cell>
          <cell r="CZ54">
            <v>17438.392527304393</v>
          </cell>
          <cell r="DA54">
            <v>17438.392527304393</v>
          </cell>
          <cell r="DB54">
            <v>17438.392527304393</v>
          </cell>
          <cell r="DC54">
            <v>17438.392527304393</v>
          </cell>
          <cell r="DD54">
            <v>17438.392527304393</v>
          </cell>
          <cell r="DE54">
            <v>17438.392527304393</v>
          </cell>
          <cell r="DF54">
            <v>17438.392527304393</v>
          </cell>
          <cell r="DG54">
            <v>17438.392527304393</v>
          </cell>
          <cell r="DH54">
            <v>209260.71032765266</v>
          </cell>
        </row>
        <row r="55">
          <cell r="B55">
            <v>418</v>
          </cell>
          <cell r="C55" t="str">
            <v>Plant Growth</v>
          </cell>
          <cell r="CP55" t="str">
            <v>לידיה גהלי</v>
          </cell>
          <cell r="CQ55">
            <v>410</v>
          </cell>
          <cell r="CR55" t="str">
            <v>Data Generation</v>
          </cell>
          <cell r="CS55" t="str">
            <v>Data Gathering TL</v>
          </cell>
          <cell r="CT55" t="str">
            <v>לידיה</v>
          </cell>
          <cell r="CU55" t="str">
            <v>גהלי</v>
          </cell>
          <cell r="CV55">
            <v>6327.7337736275877</v>
          </cell>
          <cell r="CW55">
            <v>6327.7337736275877</v>
          </cell>
          <cell r="CX55">
            <v>6327.7337736275877</v>
          </cell>
          <cell r="CY55">
            <v>6327.7337736275877</v>
          </cell>
          <cell r="CZ55">
            <v>6327.7337736275877</v>
          </cell>
          <cell r="DA55">
            <v>6327.7337736275877</v>
          </cell>
          <cell r="DB55">
            <v>6327.7337736275877</v>
          </cell>
          <cell r="DC55">
            <v>6327.7337736275877</v>
          </cell>
          <cell r="DD55">
            <v>6327.7337736275877</v>
          </cell>
          <cell r="DE55">
            <v>6327.7337736275877</v>
          </cell>
          <cell r="DF55">
            <v>6327.7337736275877</v>
          </cell>
          <cell r="DG55">
            <v>6327.7337736275877</v>
          </cell>
          <cell r="DH55">
            <v>75932.805283531052</v>
          </cell>
        </row>
        <row r="56">
          <cell r="B56">
            <v>427</v>
          </cell>
          <cell r="C56" t="str">
            <v>Product Management</v>
          </cell>
          <cell r="CP56" t="str">
            <v>זיו חלמיש</v>
          </cell>
          <cell r="CQ56">
            <v>418</v>
          </cell>
          <cell r="CR56" t="str">
            <v>Plant Growth</v>
          </cell>
          <cell r="CS56" t="str">
            <v>Director of Greenhouse Research Center</v>
          </cell>
          <cell r="CT56" t="str">
            <v>זיו</v>
          </cell>
          <cell r="CU56" t="str">
            <v>חלמיש</v>
          </cell>
          <cell r="CV56">
            <v>11122.135843897318</v>
          </cell>
          <cell r="CW56">
            <v>11122.135843897318</v>
          </cell>
          <cell r="CX56">
            <v>11122.135843897318</v>
          </cell>
          <cell r="CY56">
            <v>11122.135843897318</v>
          </cell>
          <cell r="CZ56">
            <v>11122.135843897318</v>
          </cell>
          <cell r="DA56">
            <v>11122.135843897318</v>
          </cell>
          <cell r="DB56">
            <v>11122.135843897318</v>
          </cell>
          <cell r="DC56">
            <v>11122.135843897318</v>
          </cell>
          <cell r="DD56">
            <v>11122.135843897318</v>
          </cell>
          <cell r="DE56">
            <v>11122.135843897318</v>
          </cell>
          <cell r="DF56">
            <v>11122.135843897318</v>
          </cell>
          <cell r="DG56">
            <v>11122.135843897318</v>
          </cell>
          <cell r="DH56">
            <v>133465.63012676785</v>
          </cell>
        </row>
        <row r="57">
          <cell r="B57">
            <v>426</v>
          </cell>
          <cell r="C57" t="str">
            <v>Project Management</v>
          </cell>
          <cell r="CP57" t="str">
            <v>אביב  הימל</v>
          </cell>
          <cell r="CQ57">
            <v>418</v>
          </cell>
          <cell r="CR57" t="str">
            <v>Plant Growth</v>
          </cell>
          <cell r="CS57" t="str">
            <v>Agronomist</v>
          </cell>
          <cell r="CT57" t="str">
            <v xml:space="preserve">אביב </v>
          </cell>
          <cell r="CU57" t="str">
            <v>הימל</v>
          </cell>
          <cell r="CV57">
            <v>6415.4880339830061</v>
          </cell>
          <cell r="CW57">
            <v>0</v>
          </cell>
          <cell r="CX57">
            <v>0</v>
          </cell>
          <cell r="CY57">
            <v>0</v>
          </cell>
          <cell r="CZ57">
            <v>0</v>
          </cell>
          <cell r="DA57">
            <v>0</v>
          </cell>
          <cell r="DB57">
            <v>0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>
            <v>0</v>
          </cell>
          <cell r="DH57">
            <v>6415.4880339830061</v>
          </cell>
        </row>
        <row r="58">
          <cell r="B58">
            <v>608</v>
          </cell>
          <cell r="C58" t="str">
            <v>Purchasing</v>
          </cell>
          <cell r="CP58" t="str">
            <v>טל נגר</v>
          </cell>
          <cell r="CQ58">
            <v>402</v>
          </cell>
          <cell r="CR58" t="str">
            <v>System Architect</v>
          </cell>
          <cell r="CS58" t="str">
            <v>System Architect</v>
          </cell>
          <cell r="CT58" t="str">
            <v>טל</v>
          </cell>
          <cell r="CU58" t="str">
            <v>נגר</v>
          </cell>
          <cell r="CV58">
            <v>16877.034199020061</v>
          </cell>
          <cell r="CW58">
            <v>16877.034199020061</v>
          </cell>
          <cell r="CX58">
            <v>16877.034199020061</v>
          </cell>
          <cell r="CY58">
            <v>16877.034199020061</v>
          </cell>
          <cell r="CZ58">
            <v>16877.034199020061</v>
          </cell>
          <cell r="DA58">
            <v>16877.034199020061</v>
          </cell>
          <cell r="DB58">
            <v>16877.034199020061</v>
          </cell>
          <cell r="DC58">
            <v>16877.034199020061</v>
          </cell>
          <cell r="DD58">
            <v>16877.034199020061</v>
          </cell>
          <cell r="DE58">
            <v>16877.034199020061</v>
          </cell>
          <cell r="DF58">
            <v>16877.034199020061</v>
          </cell>
          <cell r="DG58">
            <v>16877.034199020061</v>
          </cell>
          <cell r="DH58">
            <v>202524.41038824079</v>
          </cell>
        </row>
        <row r="59">
          <cell r="B59">
            <v>419</v>
          </cell>
          <cell r="C59" t="str">
            <v>QA</v>
          </cell>
          <cell r="CP59" t="str">
            <v>מרה דקל</v>
          </cell>
          <cell r="CQ59">
            <v>416</v>
          </cell>
          <cell r="CR59" t="str">
            <v>Tissue Culture</v>
          </cell>
          <cell r="CS59" t="str">
            <v xml:space="preserve">Senior TC Biologist </v>
          </cell>
          <cell r="CT59" t="str">
            <v>מרה</v>
          </cell>
          <cell r="CU59" t="str">
            <v>דקל</v>
          </cell>
          <cell r="CV59">
            <v>7384.5632413972526</v>
          </cell>
          <cell r="CW59">
            <v>7384.5632413972526</v>
          </cell>
          <cell r="CX59">
            <v>7384.5632413972526</v>
          </cell>
          <cell r="CY59">
            <v>7384.5632413972526</v>
          </cell>
          <cell r="CZ59">
            <v>7384.5632413972526</v>
          </cell>
          <cell r="DA59">
            <v>7384.5632413972526</v>
          </cell>
          <cell r="DB59">
            <v>7384.5632413972526</v>
          </cell>
          <cell r="DC59">
            <v>7384.5632413972526</v>
          </cell>
          <cell r="DD59">
            <v>7384.5632413972526</v>
          </cell>
          <cell r="DE59">
            <v>7384.5632413972526</v>
          </cell>
          <cell r="DF59">
            <v>7384.5632413972526</v>
          </cell>
          <cell r="DG59">
            <v>7384.5632413972526</v>
          </cell>
          <cell r="DH59">
            <v>88614.758896767002</v>
          </cell>
        </row>
        <row r="60">
          <cell r="B60">
            <v>428</v>
          </cell>
          <cell r="C60" t="str">
            <v>Seed Bank</v>
          </cell>
          <cell r="CP60" t="str">
            <v>יסמין פלוטקין</v>
          </cell>
          <cell r="CQ60">
            <v>413</v>
          </cell>
          <cell r="CR60" t="str">
            <v>Molecular lab</v>
          </cell>
          <cell r="CS60" t="str">
            <v>Technician</v>
          </cell>
          <cell r="CT60" t="str">
            <v>יסמין</v>
          </cell>
          <cell r="CU60" t="str">
            <v>פלוטקין</v>
          </cell>
          <cell r="CV60">
            <v>4554.4598276961915</v>
          </cell>
          <cell r="CW60">
            <v>4554.4598276961915</v>
          </cell>
          <cell r="CX60">
            <v>4554.4598276961915</v>
          </cell>
          <cell r="CY60">
            <v>4554.4598276961915</v>
          </cell>
          <cell r="CZ60">
            <v>4554.4598276961915</v>
          </cell>
          <cell r="DA60">
            <v>4554.4598276961915</v>
          </cell>
          <cell r="DB60">
            <v>4554.4598276961915</v>
          </cell>
          <cell r="DC60">
            <v>4554.4598276961915</v>
          </cell>
          <cell r="DD60">
            <v>4554.4598276961915</v>
          </cell>
          <cell r="DE60">
            <v>4554.4598276961915</v>
          </cell>
          <cell r="DF60">
            <v>4554.4598276961915</v>
          </cell>
          <cell r="DG60">
            <v>4554.4598276961915</v>
          </cell>
          <cell r="DH60">
            <v>54653.517932354298</v>
          </cell>
        </row>
        <row r="61">
          <cell r="B61">
            <v>406</v>
          </cell>
          <cell r="C61" t="str">
            <v>Software Development</v>
          </cell>
          <cell r="CP61" t="str">
            <v>נועם ארצי</v>
          </cell>
          <cell r="CQ61">
            <v>406</v>
          </cell>
          <cell r="CR61" t="str">
            <v>Software Development</v>
          </cell>
          <cell r="CS61" t="str">
            <v>Full Stuck Developer</v>
          </cell>
          <cell r="CT61" t="str">
            <v>נועם</v>
          </cell>
          <cell r="CU61" t="str">
            <v>ארצי</v>
          </cell>
          <cell r="CV61">
            <v>11022.219336323822</v>
          </cell>
          <cell r="CW61">
            <v>11022.219336323822</v>
          </cell>
          <cell r="CX61">
            <v>11022.219336323822</v>
          </cell>
          <cell r="CY61">
            <v>11022.219336323822</v>
          </cell>
          <cell r="CZ61">
            <v>11022.219336323822</v>
          </cell>
          <cell r="DA61">
            <v>11022.219336323822</v>
          </cell>
          <cell r="DB61">
            <v>11022.219336323822</v>
          </cell>
          <cell r="DC61">
            <v>11022.219336323822</v>
          </cell>
          <cell r="DD61">
            <v>11022.219336323822</v>
          </cell>
          <cell r="DE61">
            <v>11022.219336323822</v>
          </cell>
          <cell r="DF61">
            <v>11022.219336323822</v>
          </cell>
          <cell r="DG61">
            <v>11022.219336323822</v>
          </cell>
          <cell r="DH61">
            <v>132266.63203588585</v>
          </cell>
        </row>
        <row r="62">
          <cell r="B62">
            <v>416</v>
          </cell>
          <cell r="C62" t="str">
            <v>Tissue Culture</v>
          </cell>
          <cell r="CP62" t="str">
            <v xml:space="preserve">נורית  בר </v>
          </cell>
          <cell r="CQ62">
            <v>416</v>
          </cell>
          <cell r="CR62" t="str">
            <v>Tissue Culture</v>
          </cell>
          <cell r="CS62" t="str">
            <v>TC Biologist</v>
          </cell>
          <cell r="CT62" t="str">
            <v xml:space="preserve">נורית </v>
          </cell>
          <cell r="CU62" t="str">
            <v xml:space="preserve">בר </v>
          </cell>
          <cell r="CV62">
            <v>5746.5217024756366</v>
          </cell>
          <cell r="CW62">
            <v>5746.5217024756366</v>
          </cell>
          <cell r="CX62">
            <v>5746.5217024756366</v>
          </cell>
          <cell r="CY62">
            <v>5746.5217024756366</v>
          </cell>
          <cell r="CZ62">
            <v>5746.5217024756366</v>
          </cell>
          <cell r="DA62">
            <v>5746.5217024756366</v>
          </cell>
          <cell r="DB62">
            <v>5746.5217024756366</v>
          </cell>
          <cell r="DC62">
            <v>5746.5217024756366</v>
          </cell>
          <cell r="DD62">
            <v>5746.5217024756366</v>
          </cell>
          <cell r="DE62">
            <v>5746.5217024756366</v>
          </cell>
          <cell r="DF62">
            <v>5746.5217024756366</v>
          </cell>
          <cell r="DG62">
            <v>5746.5217024756366</v>
          </cell>
          <cell r="DH62">
            <v>68958.260429707632</v>
          </cell>
        </row>
        <row r="63">
          <cell r="B63">
            <v>111</v>
          </cell>
          <cell r="C63" t="str">
            <v>Lavie Bio COO .LTD</v>
          </cell>
          <cell r="CP63" t="str">
            <v>נעמה שני</v>
          </cell>
          <cell r="CQ63">
            <v>413</v>
          </cell>
          <cell r="CR63" t="str">
            <v>Molecular lab</v>
          </cell>
          <cell r="CS63" t="str">
            <v>Lab Team Lead</v>
          </cell>
          <cell r="CT63" t="str">
            <v>נעמה</v>
          </cell>
          <cell r="CU63" t="str">
            <v>שני</v>
          </cell>
          <cell r="CV63">
            <v>7393.7377237501933</v>
          </cell>
          <cell r="CW63">
            <v>7393.7377237501933</v>
          </cell>
          <cell r="CX63">
            <v>7393.7377237501933</v>
          </cell>
          <cell r="CY63">
            <v>7393.7377237501933</v>
          </cell>
          <cell r="CZ63">
            <v>7393.7377237501933</v>
          </cell>
          <cell r="DA63">
            <v>7393.7377237501933</v>
          </cell>
          <cell r="DB63">
            <v>7393.7377237501933</v>
          </cell>
          <cell r="DC63">
            <v>7393.7377237501933</v>
          </cell>
          <cell r="DD63">
            <v>7393.7377237501933</v>
          </cell>
          <cell r="DE63">
            <v>7393.7377237501933</v>
          </cell>
          <cell r="DF63">
            <v>7393.7377237501933</v>
          </cell>
          <cell r="DG63">
            <v>7393.7377237501933</v>
          </cell>
          <cell r="DH63">
            <v>88724.852685002319</v>
          </cell>
        </row>
        <row r="64">
          <cell r="B64">
            <v>124</v>
          </cell>
          <cell r="C64" t="str">
            <v>Lavie Bio COO .INC</v>
          </cell>
          <cell r="CP64" t="str">
            <v>דודו זלצמן</v>
          </cell>
          <cell r="CQ64">
            <v>406</v>
          </cell>
          <cell r="CR64" t="str">
            <v>Software Development</v>
          </cell>
          <cell r="CS64" t="str">
            <v>Head of software Development</v>
          </cell>
          <cell r="CT64" t="str">
            <v>דודו</v>
          </cell>
          <cell r="CU64" t="str">
            <v>זלצמן</v>
          </cell>
          <cell r="CV64">
            <v>14618.732643015101</v>
          </cell>
          <cell r="CW64">
            <v>14618.732643015101</v>
          </cell>
          <cell r="CX64">
            <v>14618.732643015101</v>
          </cell>
          <cell r="CY64">
            <v>14618.732643015101</v>
          </cell>
          <cell r="CZ64">
            <v>14618.732643015101</v>
          </cell>
          <cell r="DA64">
            <v>14618.732643015101</v>
          </cell>
          <cell r="DB64">
            <v>14618.732643015101</v>
          </cell>
          <cell r="DC64">
            <v>14618.732643015101</v>
          </cell>
          <cell r="DD64">
            <v>14618.732643015101</v>
          </cell>
          <cell r="DE64">
            <v>14618.732643015101</v>
          </cell>
          <cell r="DF64">
            <v>14618.732643015101</v>
          </cell>
          <cell r="DG64">
            <v>14618.732643015101</v>
          </cell>
          <cell r="DH64">
            <v>175424.79171618121</v>
          </cell>
        </row>
        <row r="65">
          <cell r="B65">
            <v>125</v>
          </cell>
          <cell r="C65" t="str">
            <v>Lavie Bio US site</v>
          </cell>
          <cell r="CP65" t="str">
            <v>עדי שריד</v>
          </cell>
          <cell r="CQ65">
            <v>419</v>
          </cell>
          <cell r="CR65" t="str">
            <v>QA</v>
          </cell>
          <cell r="CS65" t="str">
            <v>Bio Operations QA</v>
          </cell>
          <cell r="CT65" t="str">
            <v>עדי</v>
          </cell>
          <cell r="CU65" t="str">
            <v>שריד</v>
          </cell>
          <cell r="CV65">
            <v>5684.3143814119094</v>
          </cell>
          <cell r="CW65">
            <v>5684.3143814119094</v>
          </cell>
          <cell r="CX65">
            <v>5684.3143814119094</v>
          </cell>
          <cell r="CY65">
            <v>5684.3143814119094</v>
          </cell>
          <cell r="CZ65">
            <v>5684.3143814119094</v>
          </cell>
          <cell r="DA65">
            <v>5684.3143814119094</v>
          </cell>
          <cell r="DB65">
            <v>5684.3143814119094</v>
          </cell>
          <cell r="DC65">
            <v>5684.3143814119094</v>
          </cell>
          <cell r="DD65">
            <v>5684.3143814119094</v>
          </cell>
          <cell r="DE65">
            <v>5684.3143814119094</v>
          </cell>
          <cell r="DF65">
            <v>5684.3143814119094</v>
          </cell>
          <cell r="DG65">
            <v>5684.3143814119094</v>
          </cell>
          <cell r="DH65">
            <v>68211.772576942909</v>
          </cell>
        </row>
        <row r="66">
          <cell r="B66">
            <v>126</v>
          </cell>
          <cell r="C66" t="str">
            <v>Lavie Bio Commercial .LTD</v>
          </cell>
          <cell r="CP66" t="str">
            <v>רוברטו אולנדר</v>
          </cell>
          <cell r="CQ66">
            <v>403</v>
          </cell>
          <cell r="CR66" t="str">
            <v>Algorithm</v>
          </cell>
          <cell r="CS66" t="str">
            <v xml:space="preserve">Head of Algorithms </v>
          </cell>
          <cell r="CT66" t="str">
            <v>רוברטו</v>
          </cell>
          <cell r="CU66" t="str">
            <v>אולנדר</v>
          </cell>
          <cell r="CV66">
            <v>14217.340520049407</v>
          </cell>
          <cell r="CW66">
            <v>14217.340520049407</v>
          </cell>
          <cell r="CX66">
            <v>14217.340520049407</v>
          </cell>
          <cell r="CY66">
            <v>14217.340520049407</v>
          </cell>
          <cell r="CZ66">
            <v>14217.340520049407</v>
          </cell>
          <cell r="DA66">
            <v>14217.340520049407</v>
          </cell>
          <cell r="DB66">
            <v>14217.340520049407</v>
          </cell>
          <cell r="DC66">
            <v>14217.340520049407</v>
          </cell>
          <cell r="DD66">
            <v>14217.340520049407</v>
          </cell>
          <cell r="DE66">
            <v>14217.340520049407</v>
          </cell>
          <cell r="DF66">
            <v>14217.340520049407</v>
          </cell>
          <cell r="DG66">
            <v>14217.340520049407</v>
          </cell>
          <cell r="DH66">
            <v>170608.08624059288</v>
          </cell>
        </row>
        <row r="67">
          <cell r="B67">
            <v>127</v>
          </cell>
          <cell r="C67" t="str">
            <v>Lavie Bio Commercial .INC</v>
          </cell>
          <cell r="CP67" t="str">
            <v>רננה ויצמן</v>
          </cell>
          <cell r="CQ67">
            <v>403</v>
          </cell>
          <cell r="CR67" t="str">
            <v>Algorithm</v>
          </cell>
          <cell r="CS67" t="str">
            <v>Algorithm Developer</v>
          </cell>
          <cell r="CT67" t="str">
            <v>רננה</v>
          </cell>
          <cell r="CU67" t="str">
            <v>ויצמן</v>
          </cell>
          <cell r="DH67">
            <v>0</v>
          </cell>
        </row>
        <row r="68">
          <cell r="B68">
            <v>128</v>
          </cell>
          <cell r="C68" t="str">
            <v>Lavie Bio Development .INC</v>
          </cell>
          <cell r="CP68" t="str">
            <v>ראובן גרטל</v>
          </cell>
          <cell r="CQ68">
            <v>418</v>
          </cell>
          <cell r="CR68" t="str">
            <v>Plant Growth</v>
          </cell>
          <cell r="CS68" t="str">
            <v xml:space="preserve">Chief  Agronomist </v>
          </cell>
          <cell r="CT68" t="str">
            <v>ראובן</v>
          </cell>
          <cell r="CU68" t="str">
            <v>גרטל</v>
          </cell>
          <cell r="CV68">
            <v>10231.585628954521</v>
          </cell>
          <cell r="CW68">
            <v>10231.585628954521</v>
          </cell>
          <cell r="CX68">
            <v>10231.585628954521</v>
          </cell>
          <cell r="CY68">
            <v>10231.585628954521</v>
          </cell>
          <cell r="CZ68">
            <v>10231.585628954521</v>
          </cell>
          <cell r="DA68">
            <v>10231.585628954521</v>
          </cell>
          <cell r="DB68">
            <v>10231.585628954521</v>
          </cell>
          <cell r="DC68">
            <v>10231.585628954521</v>
          </cell>
          <cell r="DD68">
            <v>10231.585628954521</v>
          </cell>
          <cell r="DE68">
            <v>10231.585628954521</v>
          </cell>
          <cell r="DF68">
            <v>10231.585628954521</v>
          </cell>
          <cell r="DG68">
            <v>10231.585628954521</v>
          </cell>
          <cell r="DH68">
            <v>122779.02754745424</v>
          </cell>
        </row>
        <row r="69">
          <cell r="B69">
            <v>129</v>
          </cell>
          <cell r="C69" t="str">
            <v>Lavie Bio Research .INC</v>
          </cell>
          <cell r="CP69" t="str">
            <v>אנדרי לוזגין</v>
          </cell>
          <cell r="CQ69">
            <v>420</v>
          </cell>
          <cell r="CR69" t="str">
            <v>DevOps</v>
          </cell>
          <cell r="CS69" t="str">
            <v>DevOps Developer</v>
          </cell>
          <cell r="CT69" t="str">
            <v>אנדרי</v>
          </cell>
          <cell r="CU69" t="str">
            <v>לוזגין</v>
          </cell>
          <cell r="CV69">
            <v>10223.4202315689</v>
          </cell>
          <cell r="CW69">
            <v>10223.4202315689</v>
          </cell>
          <cell r="CX69">
            <v>10223.4202315689</v>
          </cell>
          <cell r="CY69">
            <v>10223.4202315689</v>
          </cell>
          <cell r="CZ69">
            <v>10223.4202315689</v>
          </cell>
          <cell r="DA69">
            <v>10223.4202315689</v>
          </cell>
          <cell r="DB69">
            <v>10223.4202315689</v>
          </cell>
          <cell r="DC69">
            <v>10223.4202315689</v>
          </cell>
          <cell r="DD69">
            <v>10223.4202315689</v>
          </cell>
          <cell r="DE69">
            <v>10223.4202315689</v>
          </cell>
          <cell r="DF69">
            <v>10223.4202315689</v>
          </cell>
          <cell r="DG69">
            <v>10223.4202315689</v>
          </cell>
          <cell r="DH69">
            <v>122681.04277882683</v>
          </cell>
        </row>
        <row r="70">
          <cell r="B70">
            <v>130</v>
          </cell>
          <cell r="C70" t="str">
            <v>Lavie Bio Field Dev.LTD</v>
          </cell>
          <cell r="CP70" t="str">
            <v>נועה גדז'</v>
          </cell>
          <cell r="CQ70">
            <v>412</v>
          </cell>
          <cell r="CR70" t="str">
            <v>PLM</v>
          </cell>
          <cell r="CS70" t="str">
            <v>PLM</v>
          </cell>
          <cell r="CT70" t="str">
            <v>נועה</v>
          </cell>
          <cell r="CU70" t="str">
            <v>גדז'</v>
          </cell>
          <cell r="CV70">
            <v>4258.2390728530454</v>
          </cell>
          <cell r="CW70">
            <v>0</v>
          </cell>
          <cell r="CX70">
            <v>0</v>
          </cell>
          <cell r="CY70">
            <v>0</v>
          </cell>
          <cell r="CZ70">
            <v>0</v>
          </cell>
          <cell r="DA70">
            <v>0</v>
          </cell>
          <cell r="DB70">
            <v>0</v>
          </cell>
          <cell r="DC70">
            <v>0</v>
          </cell>
          <cell r="DD70">
            <v>0</v>
          </cell>
          <cell r="DE70">
            <v>0</v>
          </cell>
          <cell r="DF70">
            <v>0</v>
          </cell>
          <cell r="DG70">
            <v>0</v>
          </cell>
          <cell r="DH70">
            <v>4258.2390728530454</v>
          </cell>
        </row>
        <row r="71">
          <cell r="B71">
            <v>131</v>
          </cell>
          <cell r="C71" t="str">
            <v>Lavie Bio Field Dev. .INC</v>
          </cell>
          <cell r="CP71" t="str">
            <v>ענת מעוז</v>
          </cell>
          <cell r="CQ71">
            <v>403</v>
          </cell>
          <cell r="CR71" t="str">
            <v>Algorithm</v>
          </cell>
          <cell r="CS71" t="str">
            <v>Algorithm Developer</v>
          </cell>
          <cell r="CT71" t="str">
            <v>ענת</v>
          </cell>
          <cell r="CU71" t="str">
            <v>מעוז</v>
          </cell>
          <cell r="CV71">
            <v>13405.191909412128</v>
          </cell>
          <cell r="CW71">
            <v>13405.191909412128</v>
          </cell>
          <cell r="CX71">
            <v>13405.191909412128</v>
          </cell>
          <cell r="CY71">
            <v>13405.191909412128</v>
          </cell>
          <cell r="CZ71">
            <v>13405.191909412128</v>
          </cell>
          <cell r="DA71">
            <v>13405.191909412128</v>
          </cell>
          <cell r="DB71">
            <v>13405.191909412128</v>
          </cell>
          <cell r="DC71">
            <v>13405.191909412128</v>
          </cell>
          <cell r="DD71">
            <v>13405.191909412128</v>
          </cell>
          <cell r="DE71">
            <v>13405.191909412128</v>
          </cell>
          <cell r="DF71">
            <v>13405.191909412128</v>
          </cell>
          <cell r="DG71">
            <v>13405.191909412128</v>
          </cell>
          <cell r="DH71">
            <v>160862.30291294554</v>
          </cell>
        </row>
        <row r="72">
          <cell r="B72">
            <v>132</v>
          </cell>
          <cell r="C72" t="str">
            <v>Lavie Bio Micro. Lab .LTD</v>
          </cell>
          <cell r="CP72" t="str">
            <v>עופרי גרסון</v>
          </cell>
          <cell r="CQ72">
            <v>418</v>
          </cell>
          <cell r="CR72" t="str">
            <v>Plant Growth</v>
          </cell>
          <cell r="CS72" t="str">
            <v>Agronomist</v>
          </cell>
          <cell r="CT72" t="str">
            <v>עופרי</v>
          </cell>
          <cell r="CU72" t="str">
            <v>גרסון</v>
          </cell>
          <cell r="CV72">
            <v>6533.3638339830068</v>
          </cell>
          <cell r="CW72">
            <v>6533.3638339830068</v>
          </cell>
          <cell r="CX72">
            <v>6533.3638339830068</v>
          </cell>
          <cell r="CY72">
            <v>6533.3638339830068</v>
          </cell>
          <cell r="CZ72">
            <v>6533.3638339830068</v>
          </cell>
          <cell r="DA72">
            <v>6533.3638339830068</v>
          </cell>
          <cell r="DB72">
            <v>6533.3638339830068</v>
          </cell>
          <cell r="DC72">
            <v>6533.3638339830068</v>
          </cell>
          <cell r="DD72">
            <v>6533.3638339830068</v>
          </cell>
          <cell r="DE72">
            <v>6533.3638339830068</v>
          </cell>
          <cell r="DF72">
            <v>6533.3638339830068</v>
          </cell>
          <cell r="DG72">
            <v>6533.3638339830068</v>
          </cell>
          <cell r="DH72">
            <v>78400.366007796081</v>
          </cell>
        </row>
        <row r="73">
          <cell r="B73">
            <v>133</v>
          </cell>
          <cell r="C73" t="str">
            <v>Lavie Bio Micro. Lab .INC</v>
          </cell>
          <cell r="CP73" t="str">
            <v>מיכל אביצור</v>
          </cell>
          <cell r="CQ73">
            <v>405</v>
          </cell>
          <cell r="CR73" t="str">
            <v>Bioinformatics</v>
          </cell>
          <cell r="CS73" t="str">
            <v xml:space="preserve">Bioinformatician </v>
          </cell>
          <cell r="CT73" t="str">
            <v>מיכל</v>
          </cell>
          <cell r="CU73" t="str">
            <v>אביצור</v>
          </cell>
          <cell r="CV73">
            <v>9565.2408915198575</v>
          </cell>
          <cell r="CW73">
            <v>9565.2408915198575</v>
          </cell>
          <cell r="CX73">
            <v>9565.2408915198575</v>
          </cell>
          <cell r="CY73">
            <v>9565.2408915198575</v>
          </cell>
          <cell r="CZ73">
            <v>9565.2408915198575</v>
          </cell>
          <cell r="DA73">
            <v>9565.2408915198575</v>
          </cell>
          <cell r="DB73">
            <v>9565.2408915198575</v>
          </cell>
          <cell r="DC73">
            <v>9565.2408915198575</v>
          </cell>
          <cell r="DD73">
            <v>9565.2408915198575</v>
          </cell>
          <cell r="DE73">
            <v>9565.2408915198575</v>
          </cell>
          <cell r="DF73">
            <v>9565.2408915198575</v>
          </cell>
          <cell r="DG73">
            <v>9565.2408915198575</v>
          </cell>
          <cell r="DH73">
            <v>114782.89069823832</v>
          </cell>
        </row>
        <row r="74">
          <cell r="CP74" t="str">
            <v>איתי  רוט</v>
          </cell>
          <cell r="CQ74">
            <v>403</v>
          </cell>
          <cell r="CR74" t="str">
            <v>Algorithm</v>
          </cell>
          <cell r="CS74" t="str">
            <v>Algorithm Developer</v>
          </cell>
          <cell r="CT74" t="str">
            <v xml:space="preserve">איתי </v>
          </cell>
          <cell r="CU74" t="str">
            <v>רוט</v>
          </cell>
          <cell r="CV74">
            <v>10769.407766299302</v>
          </cell>
          <cell r="CW74">
            <v>10769.407766299302</v>
          </cell>
          <cell r="CX74">
            <v>10769.407766299302</v>
          </cell>
          <cell r="CY74">
            <v>10769.407766299302</v>
          </cell>
          <cell r="CZ74">
            <v>10769.407766299302</v>
          </cell>
          <cell r="DA74">
            <v>10769.407766299302</v>
          </cell>
          <cell r="DB74">
            <v>10769.407766299302</v>
          </cell>
          <cell r="DC74">
            <v>10769.407766299302</v>
          </cell>
          <cell r="DD74">
            <v>10769.407766299302</v>
          </cell>
          <cell r="DE74">
            <v>10769.407766299302</v>
          </cell>
          <cell r="DF74">
            <v>10769.407766299302</v>
          </cell>
          <cell r="DG74">
            <v>10769.407766299302</v>
          </cell>
          <cell r="DH74">
            <v>129232.89319559165</v>
          </cell>
        </row>
        <row r="75">
          <cell r="CP75" t="str">
            <v>לנה  קוגן</v>
          </cell>
          <cell r="CQ75">
            <v>415</v>
          </cell>
          <cell r="CR75" t="str">
            <v>Phytopathology Lab</v>
          </cell>
          <cell r="CS75" t="str">
            <v>Phytopathology Team Leader</v>
          </cell>
          <cell r="CT75" t="str">
            <v xml:space="preserve">לנה </v>
          </cell>
          <cell r="CU75" t="str">
            <v>קוגן</v>
          </cell>
          <cell r="CV75">
            <v>4668.2784747550149</v>
          </cell>
          <cell r="CW75">
            <v>4668.2784747550149</v>
          </cell>
          <cell r="CX75">
            <v>4668.2784747550149</v>
          </cell>
          <cell r="CY75">
            <v>4668.2784747550149</v>
          </cell>
          <cell r="CZ75">
            <v>4668.2784747550149</v>
          </cell>
          <cell r="DA75">
            <v>4668.2784747550149</v>
          </cell>
          <cell r="DB75">
            <v>4668.2784747550149</v>
          </cell>
          <cell r="DC75">
            <v>4668.2784747550149</v>
          </cell>
          <cell r="DD75">
            <v>4668.2784747550149</v>
          </cell>
          <cell r="DE75">
            <v>4668.2784747550149</v>
          </cell>
          <cell r="DF75">
            <v>4668.2784747550149</v>
          </cell>
          <cell r="DG75">
            <v>4668.2784747550149</v>
          </cell>
          <cell r="DH75">
            <v>56019.34169706019</v>
          </cell>
        </row>
        <row r="76">
          <cell r="CP76" t="str">
            <v>גל  אביטל</v>
          </cell>
          <cell r="CQ76">
            <v>405</v>
          </cell>
          <cell r="CR76" t="str">
            <v>Bioinformatics</v>
          </cell>
          <cell r="CS76" t="str">
            <v xml:space="preserve">Head of Bioinformatics </v>
          </cell>
          <cell r="CT76" t="str">
            <v xml:space="preserve">גל </v>
          </cell>
          <cell r="CU76" t="str">
            <v>אביטל</v>
          </cell>
          <cell r="CV76">
            <v>12364.991611103271</v>
          </cell>
          <cell r="CW76">
            <v>12364.991611103271</v>
          </cell>
          <cell r="CX76">
            <v>12364.991611103271</v>
          </cell>
          <cell r="CY76">
            <v>12364.991611103271</v>
          </cell>
          <cell r="CZ76">
            <v>12364.991611103271</v>
          </cell>
          <cell r="DA76">
            <v>12364.991611103271</v>
          </cell>
          <cell r="DH76">
            <v>74189.949666619621</v>
          </cell>
        </row>
        <row r="77">
          <cell r="CP77" t="str">
            <v>רביב שירזי</v>
          </cell>
          <cell r="CQ77">
            <v>410</v>
          </cell>
          <cell r="CR77" t="str">
            <v>Data Generation</v>
          </cell>
          <cell r="CS77" t="str">
            <v>Data Generation Technician</v>
          </cell>
          <cell r="CT77" t="str">
            <v>רביב</v>
          </cell>
          <cell r="CU77" t="str">
            <v>שירזי</v>
          </cell>
          <cell r="CV77">
            <v>4798.5898950613928</v>
          </cell>
          <cell r="CW77">
            <v>4798.5898950613928</v>
          </cell>
          <cell r="CX77">
            <v>4798.5898950613928</v>
          </cell>
          <cell r="CY77">
            <v>4798.5898950613928</v>
          </cell>
          <cell r="CZ77">
            <v>4798.5898950613928</v>
          </cell>
          <cell r="DA77">
            <v>4798.5898950613928</v>
          </cell>
          <cell r="DB77">
            <v>4798.5898950613928</v>
          </cell>
          <cell r="DC77">
            <v>4798.5898950613928</v>
          </cell>
          <cell r="DD77">
            <v>4798.5898950613928</v>
          </cell>
          <cell r="DE77">
            <v>4798.5898950613928</v>
          </cell>
          <cell r="DF77">
            <v>4798.5898950613928</v>
          </cell>
          <cell r="DG77">
            <v>4798.5898950613928</v>
          </cell>
          <cell r="DH77">
            <v>57583.07874073671</v>
          </cell>
        </row>
        <row r="78">
          <cell r="CP78" t="str">
            <v>שני מוזס</v>
          </cell>
          <cell r="CQ78">
            <v>412</v>
          </cell>
          <cell r="CR78" t="str">
            <v>PLM</v>
          </cell>
          <cell r="CS78" t="str">
            <v>PLM</v>
          </cell>
          <cell r="CT78" t="str">
            <v>שני</v>
          </cell>
          <cell r="CU78" t="str">
            <v>מוזס</v>
          </cell>
          <cell r="CV78">
            <v>4845.2693068260987</v>
          </cell>
          <cell r="CW78">
            <v>4845.2693068260987</v>
          </cell>
          <cell r="CX78">
            <v>4845.2693068260987</v>
          </cell>
          <cell r="CY78">
            <v>4845.2693068260987</v>
          </cell>
          <cell r="CZ78">
            <v>4845.2693068260987</v>
          </cell>
          <cell r="DA78">
            <v>4845.2693068260987</v>
          </cell>
          <cell r="DB78">
            <v>4845.2693068260987</v>
          </cell>
          <cell r="DC78">
            <v>4845.2693068260987</v>
          </cell>
          <cell r="DD78">
            <v>4845.2693068260987</v>
          </cell>
          <cell r="DE78">
            <v>4845.2693068260987</v>
          </cell>
          <cell r="DF78">
            <v>4845.2693068260987</v>
          </cell>
          <cell r="DG78">
            <v>4845.2693068260987</v>
          </cell>
          <cell r="DH78">
            <v>58143.231681913188</v>
          </cell>
        </row>
        <row r="79">
          <cell r="CP79" t="str">
            <v>עוז פוזנר</v>
          </cell>
          <cell r="CQ79">
            <v>410</v>
          </cell>
          <cell r="CR79" t="str">
            <v>Data Generation</v>
          </cell>
          <cell r="CS79" t="str">
            <v>Data Generation Tech</v>
          </cell>
          <cell r="CT79" t="str">
            <v>עוז</v>
          </cell>
          <cell r="CU79" t="str">
            <v>פוזנר</v>
          </cell>
          <cell r="CV79">
            <v>4420.9330662133416</v>
          </cell>
          <cell r="CW79">
            <v>4420.9330662133416</v>
          </cell>
          <cell r="CX79">
            <v>4420.9330662133416</v>
          </cell>
          <cell r="CY79">
            <v>4420.9330662133416</v>
          </cell>
          <cell r="CZ79">
            <v>4420.9330662133416</v>
          </cell>
          <cell r="DA79">
            <v>4420.9330662133416</v>
          </cell>
          <cell r="DB79">
            <v>4420.9330662133416</v>
          </cell>
          <cell r="DC79">
            <v>4420.9330662133416</v>
          </cell>
          <cell r="DD79">
            <v>4420.9330662133416</v>
          </cell>
          <cell r="DE79">
            <v>4420.9330662133416</v>
          </cell>
          <cell r="DF79">
            <v>4420.9330662133416</v>
          </cell>
          <cell r="DG79">
            <v>4420.9330662133416</v>
          </cell>
          <cell r="DH79">
            <v>53051.196794560114</v>
          </cell>
        </row>
        <row r="80">
          <cell r="CP80" t="str">
            <v>טל מאיר</v>
          </cell>
          <cell r="CQ80">
            <v>413</v>
          </cell>
          <cell r="CR80" t="str">
            <v>Molecular lab</v>
          </cell>
          <cell r="CS80" t="str">
            <v>Technician</v>
          </cell>
          <cell r="CT80" t="str">
            <v>טל</v>
          </cell>
          <cell r="CU80" t="str">
            <v>מאיר</v>
          </cell>
          <cell r="DH80">
            <v>0</v>
          </cell>
        </row>
        <row r="81">
          <cell r="CP81" t="str">
            <v>איליה בורגסדורף</v>
          </cell>
          <cell r="CQ81">
            <v>405</v>
          </cell>
          <cell r="CR81" t="str">
            <v>Bioinformatics</v>
          </cell>
          <cell r="CS81" t="str">
            <v xml:space="preserve">Bioinformatician </v>
          </cell>
          <cell r="CT81" t="str">
            <v>איליה</v>
          </cell>
          <cell r="CU81" t="str">
            <v>בורגסדורף</v>
          </cell>
          <cell r="CV81">
            <v>9153.8831097306302</v>
          </cell>
          <cell r="CW81">
            <v>9153.8831097306302</v>
          </cell>
          <cell r="CX81">
            <v>9153.8831097306302</v>
          </cell>
          <cell r="CY81">
            <v>9153.8831097306302</v>
          </cell>
          <cell r="CZ81">
            <v>9153.8831097306302</v>
          </cell>
          <cell r="DA81">
            <v>9153.8831097306302</v>
          </cell>
          <cell r="DB81">
            <v>9153.8831097306302</v>
          </cell>
          <cell r="DC81">
            <v>9153.8831097306302</v>
          </cell>
          <cell r="DD81">
            <v>9153.8831097306302</v>
          </cell>
          <cell r="DE81">
            <v>9153.8831097306302</v>
          </cell>
          <cell r="DF81">
            <v>9153.8831097306302</v>
          </cell>
          <cell r="DG81">
            <v>9153.8831097306302</v>
          </cell>
          <cell r="DH81">
            <v>109846.59731676754</v>
          </cell>
        </row>
        <row r="82">
          <cell r="CP82" t="str">
            <v>נריה סיון</v>
          </cell>
          <cell r="CQ82">
            <v>406</v>
          </cell>
          <cell r="CR82" t="str">
            <v>Software Development</v>
          </cell>
          <cell r="CS82" t="str">
            <v>Full Stack Developer</v>
          </cell>
          <cell r="CT82" t="str">
            <v>נריה</v>
          </cell>
          <cell r="CU82" t="str">
            <v>סיון</v>
          </cell>
          <cell r="CV82">
            <v>6463.3153028629076</v>
          </cell>
          <cell r="CW82">
            <v>6463.3153028629076</v>
          </cell>
          <cell r="CX82">
            <v>6463.3153028629076</v>
          </cell>
          <cell r="CY82">
            <v>6463.3153028629076</v>
          </cell>
          <cell r="CZ82">
            <v>6463.3153028629076</v>
          </cell>
          <cell r="DA82">
            <v>6463.3153028629076</v>
          </cell>
          <cell r="DB82">
            <v>6463.3153028629076</v>
          </cell>
          <cell r="DC82">
            <v>6463.3153028629076</v>
          </cell>
          <cell r="DD82">
            <v>6463.3153028629076</v>
          </cell>
          <cell r="DE82">
            <v>6463.3153028629076</v>
          </cell>
          <cell r="DF82">
            <v>6463.3153028629076</v>
          </cell>
          <cell r="DG82">
            <v>6463.3153028629076</v>
          </cell>
          <cell r="DH82">
            <v>77559.783634354899</v>
          </cell>
        </row>
        <row r="83">
          <cell r="CP83" t="str">
            <v>ליאב שפירא</v>
          </cell>
          <cell r="CQ83">
            <v>420</v>
          </cell>
          <cell r="CR83" t="str">
            <v>DevOps</v>
          </cell>
          <cell r="CS83" t="str">
            <v>DevOps Engineer</v>
          </cell>
          <cell r="CT83" t="str">
            <v>ליאב</v>
          </cell>
          <cell r="CU83" t="str">
            <v>שפירא</v>
          </cell>
          <cell r="CV83">
            <v>14598.788666544511</v>
          </cell>
          <cell r="CW83">
            <v>14598.788666544511</v>
          </cell>
          <cell r="CX83">
            <v>14598.788666544511</v>
          </cell>
          <cell r="CY83">
            <v>14598.788666544511</v>
          </cell>
          <cell r="CZ83">
            <v>14598.788666544511</v>
          </cell>
          <cell r="DA83">
            <v>14598.788666544511</v>
          </cell>
          <cell r="DB83">
            <v>14598.788666544511</v>
          </cell>
          <cell r="DC83">
            <v>14598.788666544511</v>
          </cell>
          <cell r="DD83">
            <v>14598.788666544511</v>
          </cell>
          <cell r="DE83">
            <v>14598.788666544511</v>
          </cell>
          <cell r="DF83">
            <v>14598.788666544511</v>
          </cell>
          <cell r="DG83">
            <v>14598.788666544511</v>
          </cell>
          <cell r="DH83">
            <v>175185.46399853413</v>
          </cell>
        </row>
        <row r="84">
          <cell r="CP84" t="str">
            <v>בר פרידמן</v>
          </cell>
          <cell r="CQ84">
            <v>418</v>
          </cell>
          <cell r="CR84" t="str">
            <v>Plant Growth</v>
          </cell>
          <cell r="CS84" t="str">
            <v>Technician</v>
          </cell>
          <cell r="CT84" t="str">
            <v>בר</v>
          </cell>
          <cell r="CU84" t="str">
            <v>פרידמן</v>
          </cell>
          <cell r="CV84">
            <v>3635.4765161079299</v>
          </cell>
          <cell r="CW84">
            <v>3635.4765161079299</v>
          </cell>
          <cell r="CX84">
            <v>3635.4765161079299</v>
          </cell>
          <cell r="CY84">
            <v>3635.4765161079299</v>
          </cell>
          <cell r="CZ84">
            <v>3635.4765161079299</v>
          </cell>
          <cell r="DA84">
            <v>3635.4765161079299</v>
          </cell>
          <cell r="DB84">
            <v>3635.4765161079299</v>
          </cell>
          <cell r="DC84">
            <v>3635.4765161079299</v>
          </cell>
          <cell r="DD84">
            <v>3635.4765161079299</v>
          </cell>
          <cell r="DE84">
            <v>3635.4765161079299</v>
          </cell>
          <cell r="DF84">
            <v>3635.4765161079299</v>
          </cell>
          <cell r="DG84">
            <v>3635.4765161079299</v>
          </cell>
          <cell r="DH84">
            <v>43625.71819329515</v>
          </cell>
        </row>
        <row r="85">
          <cell r="CP85" t="str">
            <v>שי  שליסל</v>
          </cell>
          <cell r="CQ85">
            <v>413</v>
          </cell>
          <cell r="CR85" t="str">
            <v>Molecular lab</v>
          </cell>
          <cell r="CS85" t="str">
            <v>Biochemistry Researcher</v>
          </cell>
          <cell r="CT85" t="str">
            <v xml:space="preserve">שי </v>
          </cell>
          <cell r="CU85" t="str">
            <v>שליסל</v>
          </cell>
          <cell r="CV85">
            <v>8742.5253279414028</v>
          </cell>
          <cell r="CW85">
            <v>8742.5253279414028</v>
          </cell>
          <cell r="CX85">
            <v>8742.5253279414028</v>
          </cell>
          <cell r="CY85">
            <v>8742.5253279414028</v>
          </cell>
          <cell r="CZ85">
            <v>8742.5253279414028</v>
          </cell>
          <cell r="DA85">
            <v>8742.5253279414028</v>
          </cell>
          <cell r="DB85">
            <v>8742.5253279414028</v>
          </cell>
          <cell r="DC85">
            <v>8742.5253279414028</v>
          </cell>
          <cell r="DD85">
            <v>8742.5253279414028</v>
          </cell>
          <cell r="DE85">
            <v>8742.5253279414028</v>
          </cell>
          <cell r="DF85">
            <v>8742.5253279414028</v>
          </cell>
          <cell r="DG85">
            <v>8742.5253279414028</v>
          </cell>
          <cell r="DH85">
            <v>104910.30393529683</v>
          </cell>
        </row>
        <row r="86">
          <cell r="CP86" t="str">
            <v>הודיה מזרחי</v>
          </cell>
          <cell r="CQ86">
            <v>406</v>
          </cell>
          <cell r="CR86" t="str">
            <v>Software Development</v>
          </cell>
          <cell r="CS86" t="str">
            <v>Full Stack Developer</v>
          </cell>
          <cell r="CT86" t="str">
            <v>הודיה</v>
          </cell>
          <cell r="CU86" t="str">
            <v>מזרחי</v>
          </cell>
          <cell r="CV86">
            <v>14464.415254779804</v>
          </cell>
          <cell r="CW86">
            <v>14464.415254779804</v>
          </cell>
          <cell r="CX86">
            <v>14464.415254779804</v>
          </cell>
          <cell r="CY86">
            <v>14464.415254779804</v>
          </cell>
          <cell r="CZ86">
            <v>14464.415254779804</v>
          </cell>
          <cell r="DA86">
            <v>14464.415254779804</v>
          </cell>
          <cell r="DB86">
            <v>14464.415254779804</v>
          </cell>
          <cell r="DC86">
            <v>14464.415254779804</v>
          </cell>
          <cell r="DD86">
            <v>14464.415254779804</v>
          </cell>
          <cell r="DE86">
            <v>14464.415254779804</v>
          </cell>
          <cell r="DF86">
            <v>14464.415254779804</v>
          </cell>
          <cell r="DG86">
            <v>14464.415254779804</v>
          </cell>
          <cell r="DH86">
            <v>173572.98305735763</v>
          </cell>
        </row>
        <row r="87">
          <cell r="CP87" t="str">
            <v>ליאור  רוזנפלד</v>
          </cell>
          <cell r="CQ87">
            <v>405</v>
          </cell>
          <cell r="CR87" t="str">
            <v>Bioinformatics</v>
          </cell>
          <cell r="CS87" t="str">
            <v xml:space="preserve">Bioinformatician </v>
          </cell>
          <cell r="CT87" t="str">
            <v xml:space="preserve">ליאור </v>
          </cell>
          <cell r="CU87" t="str">
            <v>רוזנפלד</v>
          </cell>
          <cell r="CV87">
            <v>8254.3094990933514</v>
          </cell>
          <cell r="CW87">
            <v>8254.3094990933514</v>
          </cell>
          <cell r="CX87">
            <v>8254.3094990933514</v>
          </cell>
          <cell r="CY87">
            <v>8254.3094990933514</v>
          </cell>
          <cell r="CZ87">
            <v>8254.3094990933514</v>
          </cell>
          <cell r="DA87">
            <v>8254.3094990933514</v>
          </cell>
          <cell r="DB87">
            <v>8254.3094990933514</v>
          </cell>
          <cell r="DC87">
            <v>8254.3094990933514</v>
          </cell>
          <cell r="DD87">
            <v>8254.3094990933514</v>
          </cell>
          <cell r="DE87">
            <v>8254.3094990933514</v>
          </cell>
          <cell r="DF87">
            <v>8254.3094990933514</v>
          </cell>
          <cell r="DG87">
            <v>8254.3094990933514</v>
          </cell>
          <cell r="DH87">
            <v>99051.713989120195</v>
          </cell>
        </row>
        <row r="88">
          <cell r="DH88">
            <v>4047072.0445576864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ivot 1"/>
      <sheetName val="Sheet1"/>
      <sheetName val="Task units pivot"/>
      <sheetName val="SOW"/>
      <sheetName val="Parameters"/>
      <sheetName val="Pivot table"/>
    </sheetNames>
    <sheetDataSet>
      <sheetData sheetId="0"/>
      <sheetData sheetId="1"/>
      <sheetData sheetId="2"/>
      <sheetData sheetId="3"/>
      <sheetData sheetId="4">
        <row r="1">
          <cell r="B1" t="str">
            <v>DepartmentNo.</v>
          </cell>
          <cell r="C1" t="str">
            <v>Department Name</v>
          </cell>
          <cell r="P1" t="str">
            <v>ProjectName</v>
          </cell>
          <cell r="Q1" t="str">
            <v>ProjectFull</v>
          </cell>
          <cell r="R1" t="str">
            <v>Default Division</v>
          </cell>
          <cell r="S1" t="str">
            <v>ProjectNum</v>
          </cell>
          <cell r="U1" t="str">
            <v>Prefix</v>
          </cell>
          <cell r="V1" t="str">
            <v>Division</v>
          </cell>
          <cell r="BN1" t="str">
            <v>Ending</v>
          </cell>
          <cell r="BO1" t="str">
            <v>Task Description</v>
          </cell>
          <cell r="BP1" t="str">
            <v>Credit Budget</v>
          </cell>
          <cell r="BQ1" t="str">
            <v>Unit Description</v>
          </cell>
          <cell r="BR1" t="str">
            <v>Cost Department</v>
          </cell>
          <cell r="BS1" t="str">
            <v>Defalut Credit Prefix</v>
          </cell>
          <cell r="BT1" t="str">
            <v>Ending Type</v>
          </cell>
          <cell r="BU1" t="str">
            <v>Ending Group</v>
          </cell>
          <cell r="BV1" t="str">
            <v>Recognition Type</v>
          </cell>
          <cell r="BW1" t="str">
            <v>Cost Per unit</v>
          </cell>
          <cell r="CG1" t="str">
            <v>FinReport</v>
          </cell>
          <cell r="CH1" t="str">
            <v>Code</v>
          </cell>
        </row>
        <row r="2">
          <cell r="B2">
            <v>304</v>
          </cell>
          <cell r="C2" t="str">
            <v>Ag-Seed</v>
          </cell>
          <cell r="P2" t="str">
            <v>agPlenus Tech</v>
          </cell>
          <cell r="Q2" t="str">
            <v>P21 - agPlenus Tech</v>
          </cell>
          <cell r="R2" t="str">
            <v>AgPlenus</v>
          </cell>
          <cell r="S2" t="str">
            <v>P21</v>
          </cell>
          <cell r="U2" t="str">
            <v>B10</v>
          </cell>
          <cell r="V2" t="str">
            <v>AgPlenus</v>
          </cell>
          <cell r="AH2">
            <v>3.4</v>
          </cell>
          <cell r="AI2">
            <v>3.4</v>
          </cell>
          <cell r="AJ2">
            <v>3.4</v>
          </cell>
          <cell r="AK2">
            <v>3.4</v>
          </cell>
          <cell r="AL2">
            <v>3.4</v>
          </cell>
          <cell r="AM2">
            <v>3.4</v>
          </cell>
          <cell r="AN2">
            <v>3.4</v>
          </cell>
          <cell r="AO2">
            <v>3.4</v>
          </cell>
          <cell r="AP2">
            <v>3.4</v>
          </cell>
          <cell r="AQ2">
            <v>3.4</v>
          </cell>
          <cell r="AR2">
            <v>3.4</v>
          </cell>
          <cell r="AS2">
            <v>3.4</v>
          </cell>
          <cell r="BN2" t="str">
            <v>E000 - Salary</v>
          </cell>
          <cell r="BT2" t="str">
            <v>Salary</v>
          </cell>
          <cell r="BU2" t="str">
            <v>Salary</v>
          </cell>
          <cell r="BW2">
            <v>0</v>
          </cell>
          <cell r="CG2" t="str">
            <v>Revenues</v>
          </cell>
          <cell r="CH2" t="str">
            <v>00</v>
          </cell>
          <cell r="CQ2" t="str">
            <v>Department number</v>
          </cell>
          <cell r="CR2" t="str">
            <v>Department</v>
          </cell>
          <cell r="CS2" t="str">
            <v>הגדרת תפקיד</v>
          </cell>
          <cell r="CT2" t="str">
            <v xml:space="preserve">שם פרטי </v>
          </cell>
          <cell r="CU2" t="str">
            <v xml:space="preserve">שם משפחה </v>
          </cell>
          <cell r="CV2" t="str">
            <v>ינואר</v>
          </cell>
          <cell r="CW2" t="str">
            <v>פברואר</v>
          </cell>
          <cell r="CX2" t="str">
            <v>מרץ</v>
          </cell>
          <cell r="CY2" t="str">
            <v>אפריל</v>
          </cell>
          <cell r="CZ2" t="str">
            <v>מאי</v>
          </cell>
          <cell r="DA2" t="str">
            <v>יוני</v>
          </cell>
          <cell r="DB2" t="str">
            <v>יולי</v>
          </cell>
          <cell r="DC2" t="str">
            <v>אוגוסט</v>
          </cell>
          <cell r="DD2" t="str">
            <v>ספטמבר</v>
          </cell>
          <cell r="DE2" t="str">
            <v>אוקטובר</v>
          </cell>
          <cell r="DF2" t="str">
            <v>נובמבר</v>
          </cell>
          <cell r="DG2" t="str">
            <v>דצמבר</v>
          </cell>
          <cell r="DH2" t="str">
            <v>סה"כ שנתי  - NIS</v>
          </cell>
        </row>
        <row r="3">
          <cell r="B3">
            <v>302</v>
          </cell>
          <cell r="C3" t="str">
            <v>Ag-Seed BD</v>
          </cell>
          <cell r="P3" t="str">
            <v>Herbicides Corteva</v>
          </cell>
          <cell r="Q3" t="str">
            <v>P210 - Herbicides Corteva</v>
          </cell>
          <cell r="R3" t="str">
            <v>AgPlenus</v>
          </cell>
          <cell r="S3" t="str">
            <v>P210</v>
          </cell>
          <cell r="U3" t="str">
            <v>B20</v>
          </cell>
          <cell r="V3" t="str">
            <v>Lavie Bio</v>
          </cell>
          <cell r="BN3" t="str">
            <v xml:space="preserve">E301 - Capped Patent </v>
          </cell>
          <cell r="BT3" t="str">
            <v>External</v>
          </cell>
          <cell r="BU3" t="str">
            <v>External</v>
          </cell>
          <cell r="BW3">
            <v>0</v>
          </cell>
          <cell r="CG3" t="str">
            <v>COGS</v>
          </cell>
          <cell r="CH3" t="str">
            <v>10</v>
          </cell>
          <cell r="CQ3">
            <v>994</v>
          </cell>
          <cell r="CR3" t="str">
            <v>Biomica Exec. MGMT</v>
          </cell>
          <cell r="CS3" t="str">
            <v>CEO</v>
          </cell>
          <cell r="CT3" t="str">
            <v>אלרן</v>
          </cell>
          <cell r="CU3" t="str">
            <v>חבר</v>
          </cell>
          <cell r="CV3">
            <v>174519.67172196586</v>
          </cell>
          <cell r="CW3">
            <v>74519.67172196586</v>
          </cell>
          <cell r="CX3">
            <v>74519.67172196586</v>
          </cell>
          <cell r="CY3">
            <v>74519.67172196586</v>
          </cell>
          <cell r="CZ3">
            <v>74519.67172196586</v>
          </cell>
          <cell r="DA3">
            <v>74519.67172196586</v>
          </cell>
          <cell r="DB3">
            <v>74519.67172196586</v>
          </cell>
          <cell r="DC3">
            <v>74519.67172196586</v>
          </cell>
          <cell r="DD3">
            <v>74519.67172196586</v>
          </cell>
          <cell r="DE3">
            <v>74519.67172196586</v>
          </cell>
          <cell r="DF3">
            <v>74519.67172196586</v>
          </cell>
          <cell r="DG3">
            <v>74519.67172196586</v>
          </cell>
          <cell r="DH3">
            <v>994236.06066359056</v>
          </cell>
        </row>
        <row r="4">
          <cell r="B4">
            <v>301</v>
          </cell>
          <cell r="C4" t="str">
            <v>Ag-Seed Exec. MGMT</v>
          </cell>
          <cell r="P4" t="str">
            <v>Herbicides APTH1</v>
          </cell>
          <cell r="Q4" t="str">
            <v>P211 - Herbicides APTH1</v>
          </cell>
          <cell r="R4" t="str">
            <v>AgPlenus</v>
          </cell>
          <cell r="S4" t="str">
            <v>P211</v>
          </cell>
          <cell r="U4" t="str">
            <v>B30</v>
          </cell>
          <cell r="V4" t="str">
            <v>Ag-Seed</v>
          </cell>
          <cell r="BN4" t="str">
            <v>E302 - Non Capped Patent</v>
          </cell>
          <cell r="BT4" t="str">
            <v>External</v>
          </cell>
          <cell r="BU4" t="str">
            <v>External</v>
          </cell>
          <cell r="BW4">
            <v>0</v>
          </cell>
          <cell r="CG4" t="str">
            <v>RD</v>
          </cell>
          <cell r="CH4" t="str">
            <v>20</v>
          </cell>
          <cell r="CQ4">
            <v>999</v>
          </cell>
          <cell r="CR4" t="str">
            <v>Biomica RD</v>
          </cell>
          <cell r="CS4" t="str">
            <v xml:space="preserve">VP R&amp;D </v>
          </cell>
          <cell r="CT4" t="str">
            <v>שירי</v>
          </cell>
          <cell r="CU4" t="str">
            <v>משנר</v>
          </cell>
          <cell r="CV4">
            <v>71927.107431001379</v>
          </cell>
          <cell r="CW4">
            <v>52559.107431001386</v>
          </cell>
          <cell r="CX4">
            <v>52559.107431001386</v>
          </cell>
          <cell r="CY4">
            <v>52559.107431001386</v>
          </cell>
          <cell r="CZ4">
            <v>52559.107431001386</v>
          </cell>
          <cell r="DA4">
            <v>52559.107431001386</v>
          </cell>
          <cell r="DB4">
            <v>52559.107431001386</v>
          </cell>
          <cell r="DC4">
            <v>52559.107431001386</v>
          </cell>
          <cell r="DD4">
            <v>52559.107431001386</v>
          </cell>
          <cell r="DE4">
            <v>52559.107431001386</v>
          </cell>
          <cell r="DF4">
            <v>52559.107431001386</v>
          </cell>
          <cell r="DG4">
            <v>52559.107431001386</v>
          </cell>
          <cell r="DH4">
            <v>650077.28917201655</v>
          </cell>
        </row>
        <row r="5">
          <cell r="B5">
            <v>303</v>
          </cell>
          <cell r="C5" t="str">
            <v>Ag-Seed PM</v>
          </cell>
          <cell r="P5" t="str">
            <v>Herbicides</v>
          </cell>
          <cell r="Q5" t="str">
            <v>P23 - Herbicides</v>
          </cell>
          <cell r="R5" t="str">
            <v>AgPlenus</v>
          </cell>
          <cell r="S5" t="str">
            <v>P23</v>
          </cell>
          <cell r="U5" t="str">
            <v>B31</v>
          </cell>
          <cell r="V5" t="str">
            <v>Insect-Control</v>
          </cell>
          <cell r="BN5" t="str">
            <v>E999 - External</v>
          </cell>
          <cell r="BT5" t="str">
            <v>External</v>
          </cell>
          <cell r="BU5" t="str">
            <v>External</v>
          </cell>
          <cell r="BW5">
            <v>0</v>
          </cell>
          <cell r="CG5" t="str">
            <v>SM</v>
          </cell>
          <cell r="CH5">
            <v>30</v>
          </cell>
          <cell r="CQ5">
            <v>999</v>
          </cell>
          <cell r="CR5" t="str">
            <v>Biomica RD</v>
          </cell>
          <cell r="CS5" t="str">
            <v>Head of Computational Microbiome Research</v>
          </cell>
          <cell r="CT5" t="str">
            <v>שירלי</v>
          </cell>
          <cell r="CU5" t="str">
            <v>קרוגר</v>
          </cell>
          <cell r="CV5">
            <v>44143.47265783418</v>
          </cell>
          <cell r="CW5">
            <v>32307.472657834183</v>
          </cell>
          <cell r="CX5">
            <v>32307.472657834183</v>
          </cell>
          <cell r="CY5">
            <v>32307.472657834183</v>
          </cell>
          <cell r="CZ5">
            <v>32307.472657834183</v>
          </cell>
          <cell r="DA5">
            <v>32307.472657834183</v>
          </cell>
          <cell r="DB5">
            <v>32307.472657834183</v>
          </cell>
          <cell r="DC5">
            <v>32307.472657834183</v>
          </cell>
          <cell r="DD5">
            <v>32307.472657834183</v>
          </cell>
          <cell r="DE5">
            <v>32307.472657834183</v>
          </cell>
          <cell r="DF5">
            <v>32307.472657834183</v>
          </cell>
          <cell r="DG5">
            <v>32307.472657834183</v>
          </cell>
          <cell r="DH5">
            <v>399525.67189401016</v>
          </cell>
        </row>
        <row r="6">
          <cell r="B6">
            <v>202</v>
          </cell>
          <cell r="C6" t="str">
            <v>AgPlenus BD</v>
          </cell>
          <cell r="P6" t="str">
            <v>Fungicides</v>
          </cell>
          <cell r="Q6" t="str">
            <v>P24 - Fungicides</v>
          </cell>
          <cell r="R6" t="str">
            <v>AgPlenus</v>
          </cell>
          <cell r="S6" t="str">
            <v>P24</v>
          </cell>
          <cell r="U6" t="str">
            <v>B32</v>
          </cell>
          <cell r="V6" t="str">
            <v>IP-Legacy</v>
          </cell>
          <cell r="BN6" t="str">
            <v>T101 - Agronomist</v>
          </cell>
          <cell r="BO6" t="str">
            <v>Agronomist FTE annual cost</v>
          </cell>
          <cell r="BP6" t="str">
            <v>B40/22.P997.418.XXX-T101</v>
          </cell>
          <cell r="BQ6" t="str">
            <v>Per annual FTE</v>
          </cell>
          <cell r="BR6" t="str">
            <v>418</v>
          </cell>
          <cell r="BS6" t="str">
            <v>B40</v>
          </cell>
          <cell r="BT6" t="str">
            <v>CPB</v>
          </cell>
          <cell r="BU6" t="str">
            <v>Evogene service</v>
          </cell>
          <cell r="BV6" t="str">
            <v>Period</v>
          </cell>
          <cell r="BW6">
            <v>646.45343382798376</v>
          </cell>
          <cell r="CG6" t="str">
            <v>BD</v>
          </cell>
          <cell r="CH6" t="str">
            <v>50</v>
          </cell>
          <cell r="CQ6">
            <v>999</v>
          </cell>
          <cell r="CR6" t="str">
            <v>Biomica RD</v>
          </cell>
          <cell r="CS6" t="str">
            <v>CSO</v>
          </cell>
          <cell r="CT6" t="str">
            <v>אודי</v>
          </cell>
          <cell r="CU6" t="str">
            <v>רינגל</v>
          </cell>
          <cell r="CV6">
            <v>39424.112716459</v>
          </cell>
          <cell r="CW6">
            <v>30009.112716459003</v>
          </cell>
          <cell r="CX6">
            <v>30009.112716459003</v>
          </cell>
          <cell r="CY6">
            <v>30009.112716459003</v>
          </cell>
          <cell r="CZ6">
            <v>30009.112716459003</v>
          </cell>
          <cell r="DA6">
            <v>30009.112716459003</v>
          </cell>
          <cell r="DB6">
            <v>30009.112716459003</v>
          </cell>
          <cell r="DC6">
            <v>30009.112716459003</v>
          </cell>
          <cell r="DD6">
            <v>30009.112716459003</v>
          </cell>
          <cell r="DE6">
            <v>30009.112716459003</v>
          </cell>
          <cell r="DF6">
            <v>30009.112716459003</v>
          </cell>
          <cell r="DG6">
            <v>30009.112716459003</v>
          </cell>
          <cell r="DH6">
            <v>369524.35259750811</v>
          </cell>
        </row>
        <row r="7">
          <cell r="B7">
            <v>201</v>
          </cell>
          <cell r="C7" t="str">
            <v>AgPlenus Exec. MGMT</v>
          </cell>
          <cell r="P7" t="str">
            <v>TcdAB</v>
          </cell>
          <cell r="Q7" t="str">
            <v>P250 - TcdAB</v>
          </cell>
          <cell r="R7" t="str">
            <v>Biomica</v>
          </cell>
          <cell r="S7" t="str">
            <v>P250</v>
          </cell>
          <cell r="U7" t="str">
            <v>B40</v>
          </cell>
          <cell r="V7" t="str">
            <v>CPB</v>
          </cell>
          <cell r="BN7" t="str">
            <v>T102 - Algorithm Developer</v>
          </cell>
          <cell r="BO7" t="str">
            <v>Algorithm Developer FTE annual cost</v>
          </cell>
          <cell r="BP7" t="str">
            <v>B40/22.P997.404.XXX-T102</v>
          </cell>
          <cell r="BQ7" t="str">
            <v>Per annual FTE</v>
          </cell>
          <cell r="BR7" t="str">
            <v>404</v>
          </cell>
          <cell r="BS7" t="str">
            <v>B40</v>
          </cell>
          <cell r="BT7" t="str">
            <v>CPB</v>
          </cell>
          <cell r="BU7" t="str">
            <v>Evogene service</v>
          </cell>
          <cell r="BV7" t="str">
            <v>Period</v>
          </cell>
          <cell r="BW7">
            <v>1026.5096207180043</v>
          </cell>
          <cell r="CG7" t="str">
            <v>GA</v>
          </cell>
          <cell r="CH7" t="str">
            <v>60</v>
          </cell>
          <cell r="CQ7">
            <v>999</v>
          </cell>
          <cell r="CR7" t="str">
            <v>Biomica RD</v>
          </cell>
          <cell r="CS7" t="str">
            <v>Head of Experimental Research</v>
          </cell>
          <cell r="CT7" t="str">
            <v xml:space="preserve">שירי </v>
          </cell>
          <cell r="CU7" t="str">
            <v>אשחר</v>
          </cell>
          <cell r="CV7">
            <v>46999.213384959236</v>
          </cell>
          <cell r="CW7">
            <v>34356.213384959236</v>
          </cell>
          <cell r="CX7">
            <v>34356.213384959236</v>
          </cell>
          <cell r="CY7">
            <v>34356.213384959236</v>
          </cell>
          <cell r="CZ7">
            <v>34356.213384959236</v>
          </cell>
          <cell r="DA7">
            <v>34356.213384959236</v>
          </cell>
          <cell r="DB7">
            <v>34356.213384959236</v>
          </cell>
          <cell r="DC7">
            <v>34356.213384959236</v>
          </cell>
          <cell r="DD7">
            <v>34356.213384959236</v>
          </cell>
          <cell r="DE7">
            <v>34356.213384959236</v>
          </cell>
          <cell r="DF7">
            <v>34356.213384959236</v>
          </cell>
          <cell r="DG7">
            <v>34356.213384959236</v>
          </cell>
          <cell r="DH7">
            <v>424917.56061951094</v>
          </cell>
        </row>
        <row r="8">
          <cell r="B8">
            <v>203</v>
          </cell>
          <cell r="C8" t="str">
            <v>AgPlenus PM</v>
          </cell>
          <cell r="P8" t="str">
            <v>MRSA 50S</v>
          </cell>
          <cell r="Q8" t="str">
            <v>P251 - MRSA 50S</v>
          </cell>
          <cell r="R8" t="str">
            <v>Biomica</v>
          </cell>
          <cell r="S8" t="str">
            <v>P251</v>
          </cell>
          <cell r="U8" t="str">
            <v>B41</v>
          </cell>
          <cell r="V8" t="str">
            <v>Phenomics</v>
          </cell>
          <cell r="BN8" t="str">
            <v>T103 - Bioinformatician</v>
          </cell>
          <cell r="BO8" t="str">
            <v>Bioinformatician FTE annual cost</v>
          </cell>
          <cell r="BP8" t="str">
            <v>B40/22.P997.405.XXX-T103</v>
          </cell>
          <cell r="BQ8" t="str">
            <v>Per annual FTE</v>
          </cell>
          <cell r="BR8" t="str">
            <v>405</v>
          </cell>
          <cell r="BS8" t="str">
            <v>B40</v>
          </cell>
          <cell r="BT8" t="str">
            <v>CPB</v>
          </cell>
          <cell r="BU8" t="str">
            <v>Evogene service</v>
          </cell>
          <cell r="BV8" t="str">
            <v>Period</v>
          </cell>
          <cell r="BW8">
            <v>854.45565710605922</v>
          </cell>
          <cell r="CG8" t="str">
            <v>Financial Inc/Exp</v>
          </cell>
          <cell r="CH8" t="str">
            <v>70</v>
          </cell>
          <cell r="CQ8">
            <v>999</v>
          </cell>
          <cell r="CR8" t="str">
            <v>Biomica RD</v>
          </cell>
          <cell r="CS8" t="str">
            <v>Head of Microbiome Research &amp; Innovation</v>
          </cell>
          <cell r="CT8" t="str">
            <v>אוסנת</v>
          </cell>
          <cell r="CU8" t="str">
            <v>תירוש</v>
          </cell>
          <cell r="CV8">
            <v>43586.470497834176</v>
          </cell>
          <cell r="CW8">
            <v>31750.47049783418</v>
          </cell>
          <cell r="CX8">
            <v>31750.47049783418</v>
          </cell>
          <cell r="CY8">
            <v>31750.47049783418</v>
          </cell>
          <cell r="CZ8">
            <v>31750.47049783418</v>
          </cell>
          <cell r="DA8">
            <v>31750.47049783418</v>
          </cell>
          <cell r="DB8">
            <v>31750.47049783418</v>
          </cell>
          <cell r="DC8">
            <v>31750.47049783418</v>
          </cell>
          <cell r="DD8">
            <v>31750.47049783418</v>
          </cell>
          <cell r="DE8">
            <v>31750.47049783418</v>
          </cell>
          <cell r="DF8">
            <v>31750.47049783418</v>
          </cell>
          <cell r="DG8">
            <v>31750.47049783418</v>
          </cell>
          <cell r="DH8">
            <v>392841.64597401023</v>
          </cell>
        </row>
        <row r="9">
          <cell r="B9">
            <v>205</v>
          </cell>
          <cell r="C9" t="str">
            <v>AgPlenus RD</v>
          </cell>
          <cell r="P9" t="str">
            <v>Cancer Immun adjuvant</v>
          </cell>
          <cell r="Q9" t="str">
            <v>P252 - Cancer Immun adjuvant</v>
          </cell>
          <cell r="R9" t="str">
            <v>Biomica</v>
          </cell>
          <cell r="S9" t="str">
            <v>P252</v>
          </cell>
          <cell r="U9" t="str">
            <v>B42</v>
          </cell>
          <cell r="V9" t="str">
            <v>CrisperIL</v>
          </cell>
          <cell r="BN9" t="str">
            <v>T104 - Data Gathering</v>
          </cell>
          <cell r="BO9" t="str">
            <v>Data Gathering FTE annual cost</v>
          </cell>
          <cell r="BP9" t="str">
            <v>B40/22.P997.411.XXX-T104</v>
          </cell>
          <cell r="BQ9" t="str">
            <v>Per annual FTE</v>
          </cell>
          <cell r="BR9" t="str">
            <v>411</v>
          </cell>
          <cell r="BS9" t="str">
            <v>B40</v>
          </cell>
          <cell r="BT9" t="str">
            <v>CPB</v>
          </cell>
          <cell r="BU9" t="str">
            <v>Evogene service</v>
          </cell>
          <cell r="BV9" t="str">
            <v>Period</v>
          </cell>
          <cell r="BW9">
            <v>538.97386395126284</v>
          </cell>
          <cell r="CG9" t="str">
            <v>Grants refundable</v>
          </cell>
          <cell r="CH9" t="str">
            <v>90</v>
          </cell>
          <cell r="CQ9">
            <v>999</v>
          </cell>
          <cell r="CR9" t="str">
            <v>Biomica RD</v>
          </cell>
          <cell r="CS9" t="str">
            <v>Fermentations Team Lead</v>
          </cell>
          <cell r="CT9" t="str">
            <v>עומרי</v>
          </cell>
          <cell r="CU9" t="str">
            <v>פולונסקי</v>
          </cell>
          <cell r="CV9">
            <v>36051.567785500694</v>
          </cell>
          <cell r="CW9">
            <v>26367.567785500691</v>
          </cell>
          <cell r="CX9">
            <v>26367.567785500691</v>
          </cell>
          <cell r="CY9">
            <v>26367.567785500691</v>
          </cell>
          <cell r="CZ9">
            <v>26367.567785500691</v>
          </cell>
          <cell r="DA9">
            <v>26367.567785500691</v>
          </cell>
          <cell r="DB9">
            <v>26367.567785500691</v>
          </cell>
          <cell r="DC9">
            <v>26367.567785500691</v>
          </cell>
          <cell r="DD9">
            <v>26367.567785500691</v>
          </cell>
          <cell r="DE9">
            <v>26367.567785500691</v>
          </cell>
          <cell r="DF9">
            <v>26367.567785500691</v>
          </cell>
          <cell r="DG9">
            <v>26367.567785500691</v>
          </cell>
          <cell r="DH9">
            <v>326094.81342600827</v>
          </cell>
        </row>
        <row r="10">
          <cell r="B10">
            <v>404</v>
          </cell>
          <cell r="C10" t="str">
            <v>Algorithm</v>
          </cell>
          <cell r="P10" t="str">
            <v>IBS</v>
          </cell>
          <cell r="Q10" t="str">
            <v>P254 - IBS</v>
          </cell>
          <cell r="R10" t="str">
            <v>Biomica</v>
          </cell>
          <cell r="S10" t="str">
            <v>P254</v>
          </cell>
          <cell r="U10" t="str">
            <v>B50</v>
          </cell>
          <cell r="V10" t="str">
            <v>CPBL</v>
          </cell>
          <cell r="BN10" t="str">
            <v>T105 - DevOps</v>
          </cell>
          <cell r="BO10" t="str">
            <v>DevOps FTE annual cost</v>
          </cell>
          <cell r="BP10" t="str">
            <v>B40/22.P997.420.XXX-T105</v>
          </cell>
          <cell r="BQ10" t="str">
            <v>Per annual FTE</v>
          </cell>
          <cell r="BR10" t="str">
            <v>420</v>
          </cell>
          <cell r="BS10" t="str">
            <v>B40</v>
          </cell>
          <cell r="BT10" t="str">
            <v>CPB</v>
          </cell>
          <cell r="BU10" t="str">
            <v>Evogene service</v>
          </cell>
          <cell r="BV10" t="str">
            <v>Period</v>
          </cell>
          <cell r="BW10">
            <v>1074.8754271426164</v>
          </cell>
          <cell r="CG10" t="str">
            <v>CAPEX</v>
          </cell>
          <cell r="CH10" t="str">
            <v>95</v>
          </cell>
          <cell r="CQ10">
            <v>999</v>
          </cell>
          <cell r="CR10" t="str">
            <v>Biomica RD</v>
          </cell>
          <cell r="CS10" t="str">
            <v>Research Assistant Microbiology</v>
          </cell>
          <cell r="CT10" t="str">
            <v>אביתר</v>
          </cell>
          <cell r="CU10" t="str">
            <v>ברייר</v>
          </cell>
          <cell r="CV10">
            <v>24824.555237000463</v>
          </cell>
          <cell r="CW10">
            <v>18368.555237000463</v>
          </cell>
          <cell r="CX10">
            <v>18368.555237000463</v>
          </cell>
          <cell r="CY10">
            <v>18368.555237000463</v>
          </cell>
          <cell r="CZ10">
            <v>18368.555237000463</v>
          </cell>
          <cell r="DA10">
            <v>18368.555237000463</v>
          </cell>
          <cell r="DB10">
            <v>18368.555237000463</v>
          </cell>
          <cell r="DC10">
            <v>18368.555237000463</v>
          </cell>
          <cell r="DD10">
            <v>18368.555237000463</v>
          </cell>
          <cell r="DE10">
            <v>18368.555237000463</v>
          </cell>
          <cell r="DF10">
            <v>18368.555237000463</v>
          </cell>
          <cell r="DG10">
            <v>18368.555237000463</v>
          </cell>
          <cell r="DH10">
            <v>226878.66284400554</v>
          </cell>
        </row>
        <row r="11">
          <cell r="B11">
            <v>405</v>
          </cell>
          <cell r="C11" t="str">
            <v>Bioinformatics</v>
          </cell>
          <cell r="P11" t="str">
            <v>IBD</v>
          </cell>
          <cell r="Q11" t="str">
            <v>P255 - IBD</v>
          </cell>
          <cell r="R11" t="str">
            <v>Biomica</v>
          </cell>
          <cell r="S11" t="str">
            <v>P255</v>
          </cell>
          <cell r="U11" t="str">
            <v>B55</v>
          </cell>
          <cell r="V11" t="str">
            <v>CSO</v>
          </cell>
          <cell r="BN11" t="str">
            <v>T106 - Molecular Biologist</v>
          </cell>
          <cell r="BO11" t="str">
            <v>Molecular Biologist FTE annual cost</v>
          </cell>
          <cell r="BP11" t="str">
            <v>B40/22.P997.413.XXX-T106</v>
          </cell>
          <cell r="BQ11" t="str">
            <v>Per annual FTE</v>
          </cell>
          <cell r="BR11" t="str">
            <v>413</v>
          </cell>
          <cell r="BS11" t="str">
            <v>B40</v>
          </cell>
          <cell r="BT11" t="str">
            <v>CPB</v>
          </cell>
          <cell r="BU11" t="str">
            <v>Evogene service</v>
          </cell>
          <cell r="BV11" t="str">
            <v>Period</v>
          </cell>
          <cell r="BW11">
            <v>615.12719379966495</v>
          </cell>
          <cell r="CG11" t="str">
            <v>Cash Adjusments</v>
          </cell>
          <cell r="CH11" t="str">
            <v>96</v>
          </cell>
          <cell r="CQ11">
            <v>999</v>
          </cell>
          <cell r="CR11" t="str">
            <v>Biomica RD</v>
          </cell>
          <cell r="CS11" t="str">
            <v>Researcher</v>
          </cell>
          <cell r="CT11" t="str">
            <v>הילה</v>
          </cell>
          <cell r="CU11" t="str">
            <v>בן יהודה</v>
          </cell>
          <cell r="CV11">
            <v>34780.946596459005</v>
          </cell>
          <cell r="CW11">
            <v>25365.946596459005</v>
          </cell>
          <cell r="CX11">
            <v>25365.946596459005</v>
          </cell>
          <cell r="CY11">
            <v>25365.946596459005</v>
          </cell>
          <cell r="CZ11">
            <v>25365.946596459005</v>
          </cell>
          <cell r="DA11">
            <v>25365.946596459005</v>
          </cell>
          <cell r="DB11">
            <v>25365.946596459005</v>
          </cell>
          <cell r="DC11">
            <v>25365.946596459005</v>
          </cell>
          <cell r="DD11">
            <v>25365.946596459005</v>
          </cell>
          <cell r="DE11">
            <v>25365.946596459005</v>
          </cell>
          <cell r="DF11">
            <v>25365.946596459005</v>
          </cell>
          <cell r="DG11">
            <v>25365.946596459005</v>
          </cell>
          <cell r="DH11">
            <v>313806.35915750818</v>
          </cell>
        </row>
        <row r="12">
          <cell r="B12">
            <v>995</v>
          </cell>
          <cell r="C12" t="str">
            <v>Biomica BD</v>
          </cell>
          <cell r="P12" t="str">
            <v>Infrastructure</v>
          </cell>
          <cell r="Q12" t="str">
            <v>P257 - Infrastructure</v>
          </cell>
          <cell r="R12" t="str">
            <v>Biomica</v>
          </cell>
          <cell r="S12" t="str">
            <v>P257</v>
          </cell>
          <cell r="U12" t="str">
            <v>B70</v>
          </cell>
          <cell r="V12" t="str">
            <v>Biomica</v>
          </cell>
          <cell r="BN12" t="str">
            <v>T107 - Phytopatologist</v>
          </cell>
          <cell r="BO12" t="str">
            <v>Phytopatologist FTE annual cost</v>
          </cell>
          <cell r="BP12" t="str">
            <v>B40/22.P997.415.XXX-T107</v>
          </cell>
          <cell r="BQ12" t="str">
            <v>Per annual FTE</v>
          </cell>
          <cell r="BR12" t="str">
            <v>415</v>
          </cell>
          <cell r="BS12" t="str">
            <v>B40</v>
          </cell>
          <cell r="BT12" t="str">
            <v>CPB</v>
          </cell>
          <cell r="BU12" t="str">
            <v>Evogene service</v>
          </cell>
          <cell r="BV12" t="str">
            <v>Period</v>
          </cell>
          <cell r="BW12">
            <v>523.54476488960313</v>
          </cell>
          <cell r="CQ12">
            <v>999</v>
          </cell>
          <cell r="CR12" t="str">
            <v>Biomica RD</v>
          </cell>
          <cell r="CS12" t="str">
            <v>CRM</v>
          </cell>
          <cell r="CT12" t="str">
            <v>נעה</v>
          </cell>
          <cell r="CU12" t="str">
            <v>דייויס</v>
          </cell>
          <cell r="CV12">
            <v>41151.854650709123</v>
          </cell>
          <cell r="CW12">
            <v>30122.85465070912</v>
          </cell>
          <cell r="CX12">
            <v>30122.85465070912</v>
          </cell>
          <cell r="CY12">
            <v>30122.85465070912</v>
          </cell>
          <cell r="CZ12">
            <v>30122.85465070912</v>
          </cell>
          <cell r="DA12">
            <v>30122.85465070912</v>
          </cell>
          <cell r="DB12">
            <v>30122.85465070912</v>
          </cell>
          <cell r="DC12">
            <v>30122.85465070912</v>
          </cell>
          <cell r="DD12">
            <v>30122.85465070912</v>
          </cell>
          <cell r="DE12">
            <v>30122.85465070912</v>
          </cell>
          <cell r="DF12">
            <v>30122.85465070912</v>
          </cell>
          <cell r="DG12">
            <v>30122.85465070912</v>
          </cell>
          <cell r="DH12">
            <v>372503.25580850948</v>
          </cell>
        </row>
        <row r="13">
          <cell r="B13">
            <v>207</v>
          </cell>
          <cell r="C13" t="str">
            <v>Biomica CSO</v>
          </cell>
          <cell r="P13" t="str">
            <v>Breeding general</v>
          </cell>
          <cell r="Q13" t="str">
            <v>P197 - Breeding general</v>
          </cell>
          <cell r="R13" t="str">
            <v>Canonic</v>
          </cell>
          <cell r="S13" t="str">
            <v>P197</v>
          </cell>
          <cell r="U13" t="str">
            <v>B72</v>
          </cell>
          <cell r="V13" t="str">
            <v>Casterra</v>
          </cell>
          <cell r="BN13" t="str">
            <v>T108 - PLM</v>
          </cell>
          <cell r="BO13" t="str">
            <v>PLM FTE annual cost</v>
          </cell>
          <cell r="BP13" t="str">
            <v>B40/22.P997.412.XXX-T108</v>
          </cell>
          <cell r="BQ13" t="str">
            <v>Per annual FTE</v>
          </cell>
          <cell r="BR13" t="str">
            <v>412</v>
          </cell>
          <cell r="BS13" t="str">
            <v>B40</v>
          </cell>
          <cell r="BT13" t="str">
            <v>CPB</v>
          </cell>
          <cell r="BU13" t="str">
            <v>Evogene service</v>
          </cell>
          <cell r="BV13" t="str">
            <v>Period</v>
          </cell>
          <cell r="BW13">
            <v>568.75740332391092</v>
          </cell>
          <cell r="CQ13">
            <v>999</v>
          </cell>
          <cell r="CR13" t="str">
            <v>Biomica RD</v>
          </cell>
          <cell r="CS13" t="str">
            <v>Head of Product Development</v>
          </cell>
          <cell r="CT13" t="str">
            <v>מיטל</v>
          </cell>
          <cell r="CU13" t="str">
            <v>כהן עסיס</v>
          </cell>
          <cell r="CV13">
            <v>55284.803326334411</v>
          </cell>
          <cell r="CW13">
            <v>40220.803326334411</v>
          </cell>
          <cell r="CX13">
            <v>40220.803326334411</v>
          </cell>
          <cell r="CY13">
            <v>40220.803326334411</v>
          </cell>
          <cell r="CZ13">
            <v>40220.803326334411</v>
          </cell>
          <cell r="DA13">
            <v>40220.803326334411</v>
          </cell>
          <cell r="DB13">
            <v>40220.803326334411</v>
          </cell>
          <cell r="DC13">
            <v>40220.803326334411</v>
          </cell>
          <cell r="DD13">
            <v>40220.803326334411</v>
          </cell>
          <cell r="DE13">
            <v>40220.803326334411</v>
          </cell>
          <cell r="DF13">
            <v>40220.803326334411</v>
          </cell>
          <cell r="DG13">
            <v>40220.803326334411</v>
          </cell>
          <cell r="DH13">
            <v>497713.63991601282</v>
          </cell>
        </row>
        <row r="14">
          <cell r="B14">
            <v>994</v>
          </cell>
          <cell r="C14" t="str">
            <v>Biomica Exec. MGMT</v>
          </cell>
          <cell r="P14" t="str">
            <v xml:space="preserve">Breeding -MG </v>
          </cell>
          <cell r="Q14" t="str">
            <v xml:space="preserve">P198 - Breeding -MG </v>
          </cell>
          <cell r="R14" t="str">
            <v>Canonic</v>
          </cell>
          <cell r="S14" t="str">
            <v>P198</v>
          </cell>
          <cell r="U14" t="str">
            <v>B74</v>
          </cell>
          <cell r="V14" t="str">
            <v>Canonic</v>
          </cell>
          <cell r="BN14" t="str">
            <v>T109 - Product Manager</v>
          </cell>
          <cell r="BO14" t="str">
            <v>Product Manager FTE annual cost</v>
          </cell>
          <cell r="BP14" t="str">
            <v>B55/22.P997.427.XXX-T109</v>
          </cell>
          <cell r="BQ14" t="str">
            <v>Per annual FTE</v>
          </cell>
          <cell r="BR14" t="str">
            <v>427</v>
          </cell>
          <cell r="BS14" t="str">
            <v>B55</v>
          </cell>
          <cell r="BT14" t="str">
            <v>CPB</v>
          </cell>
          <cell r="BU14" t="str">
            <v>Evogene service</v>
          </cell>
          <cell r="BV14" t="str">
            <v>Period</v>
          </cell>
          <cell r="BW14">
            <v>827.44320670591105</v>
          </cell>
          <cell r="CQ14">
            <v>999</v>
          </cell>
          <cell r="CR14" t="str">
            <v>Biomica RD</v>
          </cell>
          <cell r="CS14" t="str">
            <v>Tissue culture specialist</v>
          </cell>
          <cell r="CT14" t="str">
            <v>אירינה</v>
          </cell>
          <cell r="CU14" t="str">
            <v>דוברוטבורסקי</v>
          </cell>
          <cell r="CV14">
            <v>32452.133829333947</v>
          </cell>
          <cell r="CW14">
            <v>23844.133829333947</v>
          </cell>
          <cell r="CX14">
            <v>23844.133829333947</v>
          </cell>
          <cell r="CY14">
            <v>23844.133829333947</v>
          </cell>
          <cell r="CZ14">
            <v>23844.133829333947</v>
          </cell>
          <cell r="DA14">
            <v>23844.133829333947</v>
          </cell>
          <cell r="DB14">
            <v>23844.133829333947</v>
          </cell>
          <cell r="DC14">
            <v>23844.133829333947</v>
          </cell>
          <cell r="DD14">
            <v>23844.133829333947</v>
          </cell>
          <cell r="DE14">
            <v>23844.133829333947</v>
          </cell>
          <cell r="DF14">
            <v>23844.133829333947</v>
          </cell>
          <cell r="DG14">
            <v>23844.133829333947</v>
          </cell>
          <cell r="DH14">
            <v>294737.60595200729</v>
          </cell>
        </row>
        <row r="15">
          <cell r="B15">
            <v>206</v>
          </cell>
          <cell r="C15" t="str">
            <v>Biomica Lab</v>
          </cell>
          <cell r="P15" t="str">
            <v>Core collection &amp; Database</v>
          </cell>
          <cell r="Q15" t="str">
            <v>P199 - Core collection &amp; Database</v>
          </cell>
          <cell r="R15" t="str">
            <v>Canonic</v>
          </cell>
          <cell r="S15" t="str">
            <v>P199</v>
          </cell>
          <cell r="U15" t="str">
            <v>B90</v>
          </cell>
          <cell r="V15" t="str">
            <v>Corporate</v>
          </cell>
          <cell r="BN15" t="str">
            <v>T110 - Project Manager</v>
          </cell>
          <cell r="BO15" t="str">
            <v>Project Manager FTE annual cost</v>
          </cell>
          <cell r="BP15" t="str">
            <v>B40/22.P997.426.XXX-T110</v>
          </cell>
          <cell r="BQ15" t="str">
            <v>Per annual FTE</v>
          </cell>
          <cell r="BR15" t="str">
            <v>426</v>
          </cell>
          <cell r="BS15" t="str">
            <v>B40</v>
          </cell>
          <cell r="BT15" t="str">
            <v>CPB</v>
          </cell>
          <cell r="BU15" t="str">
            <v>Evogene service</v>
          </cell>
          <cell r="BV15" t="str">
            <v>Period</v>
          </cell>
          <cell r="BW15">
            <v>0</v>
          </cell>
          <cell r="CQ15">
            <v>999</v>
          </cell>
          <cell r="CR15" t="str">
            <v>Biomica RD</v>
          </cell>
          <cell r="CS15" t="str">
            <v>Fermentation Research Associate</v>
          </cell>
          <cell r="CT15" t="str">
            <v>לירון</v>
          </cell>
          <cell r="CU15" t="str">
            <v>קידר</v>
          </cell>
          <cell r="CV15">
            <v>22938.521538917088</v>
          </cell>
          <cell r="CW15">
            <v>17020.521538917088</v>
          </cell>
          <cell r="CX15">
            <v>17020.521538917088</v>
          </cell>
          <cell r="CY15">
            <v>17020.521538917088</v>
          </cell>
          <cell r="CZ15">
            <v>17020.521538917088</v>
          </cell>
          <cell r="DA15">
            <v>17020.521538917088</v>
          </cell>
          <cell r="DB15">
            <v>17020.521538917088</v>
          </cell>
          <cell r="DC15">
            <v>17020.521538917088</v>
          </cell>
          <cell r="DD15">
            <v>17020.521538917088</v>
          </cell>
          <cell r="DE15">
            <v>17020.521538917088</v>
          </cell>
          <cell r="DF15">
            <v>17020.521538917088</v>
          </cell>
          <cell r="DG15">
            <v>17020.521538917088</v>
          </cell>
          <cell r="DH15">
            <v>210164.25846700507</v>
          </cell>
        </row>
        <row r="16">
          <cell r="B16">
            <v>999</v>
          </cell>
          <cell r="C16" t="str">
            <v>Biomica RD</v>
          </cell>
          <cell r="P16" t="str">
            <v>Product development</v>
          </cell>
          <cell r="Q16" t="str">
            <v>P205 - Product development</v>
          </cell>
          <cell r="R16" t="str">
            <v>Canonic</v>
          </cell>
          <cell r="S16" t="str">
            <v>P205</v>
          </cell>
          <cell r="BN16" t="str">
            <v>T111 - Seedbank</v>
          </cell>
          <cell r="BO16" t="str">
            <v>Seedbank FTE annual cost</v>
          </cell>
          <cell r="BP16" t="str">
            <v>B40/22.P997.418.XXX-T111</v>
          </cell>
          <cell r="BQ16" t="str">
            <v>Per annual FTE</v>
          </cell>
          <cell r="BR16" t="str">
            <v>418</v>
          </cell>
          <cell r="BS16" t="str">
            <v>B40</v>
          </cell>
          <cell r="BT16" t="str">
            <v>CPB</v>
          </cell>
          <cell r="BU16" t="str">
            <v>Evogene service</v>
          </cell>
          <cell r="BV16" t="str">
            <v>Period</v>
          </cell>
          <cell r="BW16">
            <v>0</v>
          </cell>
          <cell r="CQ16">
            <v>994</v>
          </cell>
          <cell r="CR16" t="str">
            <v>Biomica Exec. MGMT</v>
          </cell>
          <cell r="CS16" t="str">
            <v>VP Finance</v>
          </cell>
          <cell r="CT16" t="str">
            <v>יפעת</v>
          </cell>
          <cell r="CU16" t="str">
            <v>זומר</v>
          </cell>
          <cell r="CV16">
            <v>62895.693158667891</v>
          </cell>
          <cell r="CW16">
            <v>45679.693158667891</v>
          </cell>
          <cell r="CX16">
            <v>45679.693158667891</v>
          </cell>
          <cell r="CY16">
            <v>45679.693158667891</v>
          </cell>
          <cell r="CZ16">
            <v>45679.693158667891</v>
          </cell>
          <cell r="DA16">
            <v>45679.693158667891</v>
          </cell>
          <cell r="DB16">
            <v>45679.693158667891</v>
          </cell>
          <cell r="DC16">
            <v>45679.693158667891</v>
          </cell>
          <cell r="DD16">
            <v>45679.693158667891</v>
          </cell>
          <cell r="DE16">
            <v>45679.693158667891</v>
          </cell>
          <cell r="DF16">
            <v>45679.693158667891</v>
          </cell>
          <cell r="DG16">
            <v>45679.693158667891</v>
          </cell>
          <cell r="DH16">
            <v>565372.31790401472</v>
          </cell>
        </row>
        <row r="17">
          <cell r="B17">
            <v>422</v>
          </cell>
          <cell r="C17" t="str">
            <v>CPB Directors</v>
          </cell>
          <cell r="P17" t="str">
            <v>Computational Dev</v>
          </cell>
          <cell r="Q17" t="str">
            <v>P209 - Computational Dev</v>
          </cell>
          <cell r="R17" t="str">
            <v>Canonic</v>
          </cell>
          <cell r="S17" t="str">
            <v>P209</v>
          </cell>
          <cell r="BN17" t="str">
            <v>T112 - Software Developer</v>
          </cell>
          <cell r="BO17" t="str">
            <v>Software Developer FTE annual cost</v>
          </cell>
          <cell r="BP17" t="str">
            <v>B40/22.P997.406.XXX-T112</v>
          </cell>
          <cell r="BQ17" t="str">
            <v>Per annual FTE</v>
          </cell>
          <cell r="BR17" t="str">
            <v>406</v>
          </cell>
          <cell r="BS17" t="str">
            <v>B40</v>
          </cell>
          <cell r="BT17" t="str">
            <v>CPB</v>
          </cell>
          <cell r="BU17" t="str">
            <v>Evogene service</v>
          </cell>
          <cell r="BV17" t="str">
            <v>Period</v>
          </cell>
          <cell r="BW17">
            <v>1020.572214722201</v>
          </cell>
          <cell r="DH17">
            <v>6038393.4943957189</v>
          </cell>
        </row>
        <row r="18">
          <cell r="B18">
            <v>401</v>
          </cell>
          <cell r="C18" t="str">
            <v>CPB Exec. MGMT</v>
          </cell>
          <cell r="P18" t="str">
            <v>Rebranding</v>
          </cell>
          <cell r="Q18" t="str">
            <v>P268 - Rebranding</v>
          </cell>
          <cell r="R18" t="str">
            <v>Corporate</v>
          </cell>
          <cell r="S18" t="str">
            <v>P268</v>
          </cell>
          <cell r="BN18" t="str">
            <v>T113 - Tissue Biologist</v>
          </cell>
          <cell r="BO18" t="str">
            <v>Tissue Biologist FTE annual cost</v>
          </cell>
          <cell r="BP18" t="str">
            <v>B40/22.P997.416.XXX-T113</v>
          </cell>
          <cell r="BQ18" t="str">
            <v>Per annual FTE</v>
          </cell>
          <cell r="BR18" t="str">
            <v>416</v>
          </cell>
          <cell r="BS18" t="str">
            <v>B40</v>
          </cell>
          <cell r="BT18" t="str">
            <v>CPB</v>
          </cell>
          <cell r="BU18" t="str">
            <v>Evogene service</v>
          </cell>
          <cell r="BV18" t="str">
            <v>Period</v>
          </cell>
          <cell r="BW18">
            <v>604.21798980735002</v>
          </cell>
        </row>
        <row r="19">
          <cell r="B19">
            <v>996</v>
          </cell>
          <cell r="C19" t="str">
            <v>Canonic BD</v>
          </cell>
          <cell r="P19" t="str">
            <v>Zero Balance</v>
          </cell>
          <cell r="Q19" t="str">
            <v>P509 - Zero Balance</v>
          </cell>
          <cell r="R19" t="str">
            <v>Corporate</v>
          </cell>
          <cell r="S19" t="str">
            <v>P509</v>
          </cell>
          <cell r="BN19" t="str">
            <v>T114 - Hourly Student</v>
          </cell>
          <cell r="BO19" t="str">
            <v>Hourly Student FTE annual cost</v>
          </cell>
          <cell r="BQ19" t="str">
            <v>Per annual FTE</v>
          </cell>
          <cell r="BR19" t="str">
            <v>418</v>
          </cell>
          <cell r="BS19" t="str">
            <v>B40</v>
          </cell>
          <cell r="BT19" t="str">
            <v>External</v>
          </cell>
          <cell r="BU19" t="str">
            <v>External</v>
          </cell>
          <cell r="BV19" t="str">
            <v>Period</v>
          </cell>
          <cell r="BW19">
            <v>172.72727272727272</v>
          </cell>
        </row>
        <row r="20">
          <cell r="B20">
            <v>982</v>
          </cell>
          <cell r="C20" t="str">
            <v>Canonic Exec.MGMT</v>
          </cell>
          <cell r="P20" t="str">
            <v>Operations &amp; Corporate</v>
          </cell>
          <cell r="Q20" t="str">
            <v>P7 - Operations &amp; Corporate</v>
          </cell>
          <cell r="R20" t="str">
            <v>Corporate</v>
          </cell>
          <cell r="S20" t="str">
            <v>P7</v>
          </cell>
          <cell r="BN20" t="str">
            <v>T115 - System Architect</v>
          </cell>
          <cell r="BW20">
            <v>1237.1964239733679</v>
          </cell>
        </row>
        <row r="21">
          <cell r="B21">
            <v>981</v>
          </cell>
          <cell r="C21" t="str">
            <v>Canonic RD</v>
          </cell>
          <cell r="P21" t="str">
            <v>CPB Upkeep Computational</v>
          </cell>
          <cell r="Q21" t="str">
            <v>P271 - CPB Upkeep Computational</v>
          </cell>
          <cell r="R21" t="str">
            <v>CPB</v>
          </cell>
          <cell r="S21" t="str">
            <v>P271</v>
          </cell>
          <cell r="BN21" t="str">
            <v>T201 - Data Package</v>
          </cell>
          <cell r="BO21" t="str">
            <v>Data Package Fixed cost</v>
          </cell>
          <cell r="BP21" t="str">
            <v>B40/22.P271.422.XXX-T201</v>
          </cell>
          <cell r="BQ21" t="str">
            <v>Fixed - Specific</v>
          </cell>
          <cell r="BR21" t="str">
            <v>422</v>
          </cell>
          <cell r="BS21" t="str">
            <v>B40</v>
          </cell>
          <cell r="BT21" t="str">
            <v>CPB</v>
          </cell>
          <cell r="BU21" t="str">
            <v>Evogene service</v>
          </cell>
          <cell r="BV21" t="str">
            <v>Period</v>
          </cell>
          <cell r="BW21">
            <v>0</v>
          </cell>
        </row>
        <row r="22">
          <cell r="B22">
            <v>993</v>
          </cell>
          <cell r="C22" t="str">
            <v>Casterra BD</v>
          </cell>
          <cell r="P22" t="str">
            <v>CPB Upkeep Experimental</v>
          </cell>
          <cell r="Q22" t="str">
            <v>P275 - CPB Upkeep Experimental</v>
          </cell>
          <cell r="R22" t="str">
            <v>CPB</v>
          </cell>
          <cell r="S22" t="str">
            <v>P275</v>
          </cell>
          <cell r="BN22" t="str">
            <v>T202 - Genes Package</v>
          </cell>
          <cell r="BO22" t="str">
            <v>Genes Package Fixed cost</v>
          </cell>
          <cell r="BP22" t="str">
            <v>B40/22.P272.422.XXX-T202</v>
          </cell>
          <cell r="BQ22" t="str">
            <v>Fixed - Specific</v>
          </cell>
          <cell r="BR22" t="str">
            <v>422</v>
          </cell>
          <cell r="BS22" t="str">
            <v>B40</v>
          </cell>
          <cell r="BT22" t="str">
            <v>CPB</v>
          </cell>
          <cell r="BU22" t="str">
            <v>Evogene service</v>
          </cell>
          <cell r="BV22" t="str">
            <v>Period</v>
          </cell>
          <cell r="BW22">
            <v>0</v>
          </cell>
        </row>
        <row r="23">
          <cell r="B23">
            <v>998</v>
          </cell>
          <cell r="C23" t="str">
            <v>Casterra RD</v>
          </cell>
          <cell r="P23" t="str">
            <v>CTO Projects</v>
          </cell>
          <cell r="Q23" t="str">
            <v>P276 - CTO Projects</v>
          </cell>
          <cell r="R23" t="str">
            <v>CPB</v>
          </cell>
          <cell r="S23" t="str">
            <v>P276</v>
          </cell>
          <cell r="BN23" t="str">
            <v>T203 - Microbes Package</v>
          </cell>
          <cell r="BO23" t="str">
            <v>Microbes Package Fixed cost</v>
          </cell>
          <cell r="BP23" t="str">
            <v>B40/22.P273.422.XXX-T203</v>
          </cell>
          <cell r="BQ23" t="str">
            <v>Fixed - Specific</v>
          </cell>
          <cell r="BR23" t="str">
            <v>422</v>
          </cell>
          <cell r="BS23" t="str">
            <v>B40</v>
          </cell>
          <cell r="BT23" t="str">
            <v>CPB</v>
          </cell>
          <cell r="BU23" t="str">
            <v>Evogene service</v>
          </cell>
          <cell r="BV23" t="str">
            <v>Period</v>
          </cell>
          <cell r="BW23">
            <v>0</v>
          </cell>
        </row>
        <row r="24">
          <cell r="B24">
            <v>417</v>
          </cell>
          <cell r="C24" t="str">
            <v>Chemistry Lab</v>
          </cell>
          <cell r="P24" t="str">
            <v>CPB projects Computational</v>
          </cell>
          <cell r="Q24" t="str">
            <v>P279 - CPB projects Computational</v>
          </cell>
          <cell r="R24" t="str">
            <v>CPB</v>
          </cell>
          <cell r="S24" t="str">
            <v>P279</v>
          </cell>
          <cell r="BN24" t="str">
            <v>T204 - Small Molecules</v>
          </cell>
          <cell r="BO24" t="str">
            <v>Small Molecules Fixed cost</v>
          </cell>
          <cell r="BP24" t="str">
            <v>B40/22.P274.422.XXX-T204</v>
          </cell>
          <cell r="BQ24" t="str">
            <v>Fixed - Specific</v>
          </cell>
          <cell r="BR24" t="str">
            <v>422</v>
          </cell>
          <cell r="BS24" t="str">
            <v>B40</v>
          </cell>
          <cell r="BT24" t="str">
            <v>CPB</v>
          </cell>
          <cell r="BU24" t="str">
            <v>Evogene service</v>
          </cell>
          <cell r="BV24" t="str">
            <v>Period</v>
          </cell>
          <cell r="BW24">
            <v>0</v>
          </cell>
          <cell r="CP24" t="str">
            <v xml:space="preserve">שם פרטי  שם משפחה </v>
          </cell>
          <cell r="CQ24" t="str">
            <v>Department number</v>
          </cell>
          <cell r="CR24" t="str">
            <v>Department</v>
          </cell>
          <cell r="CS24" t="str">
            <v>הגדרת תפקיד</v>
          </cell>
          <cell r="CT24" t="str">
            <v xml:space="preserve">שם פרטי </v>
          </cell>
          <cell r="CU24" t="str">
            <v xml:space="preserve">שם משפחה </v>
          </cell>
          <cell r="CV24" t="str">
            <v>ינואר</v>
          </cell>
          <cell r="CW24" t="str">
            <v>פברואר</v>
          </cell>
          <cell r="CX24" t="str">
            <v>מרץ</v>
          </cell>
          <cell r="CY24" t="str">
            <v>אפריל</v>
          </cell>
          <cell r="CZ24" t="str">
            <v>מאי</v>
          </cell>
          <cell r="DA24" t="str">
            <v>יוני</v>
          </cell>
          <cell r="DB24" t="str">
            <v>יולי</v>
          </cell>
          <cell r="DC24" t="str">
            <v>אוגוסט</v>
          </cell>
          <cell r="DD24" t="str">
            <v>ספטמבר</v>
          </cell>
          <cell r="DE24" t="str">
            <v>אוקטובר</v>
          </cell>
          <cell r="DF24" t="str">
            <v>נובמבר</v>
          </cell>
          <cell r="DG24" t="str">
            <v>דצמבר</v>
          </cell>
          <cell r="DH24" t="str">
            <v>סה"כ שנתי  - USD</v>
          </cell>
        </row>
        <row r="25">
          <cell r="B25">
            <v>602</v>
          </cell>
          <cell r="C25" t="str">
            <v>Corporate BD</v>
          </cell>
          <cell r="P25" t="str">
            <v>CPB projects Experimental</v>
          </cell>
          <cell r="Q25" t="str">
            <v>P281 - CPB projects Experimental</v>
          </cell>
          <cell r="R25" t="str">
            <v>CPB</v>
          </cell>
          <cell r="S25" t="str">
            <v>P281</v>
          </cell>
          <cell r="BN25" t="str">
            <v>T205 - Labs and GH package</v>
          </cell>
          <cell r="BO25" t="str">
            <v>Labs and GH package Fixed cost</v>
          </cell>
          <cell r="BP25" t="str">
            <v>B40/22.P275.422.XXX-T205</v>
          </cell>
          <cell r="BQ25" t="str">
            <v>Fixed - Specific</v>
          </cell>
          <cell r="BR25" t="str">
            <v>422</v>
          </cell>
          <cell r="BS25" t="str">
            <v>B40</v>
          </cell>
          <cell r="BT25" t="str">
            <v>CPB</v>
          </cell>
          <cell r="BU25" t="str">
            <v>Evogene service</v>
          </cell>
          <cell r="BV25" t="str">
            <v>Period</v>
          </cell>
          <cell r="BW25">
            <v>0</v>
          </cell>
          <cell r="CP25" t="str">
            <v>אלרן חבר</v>
          </cell>
          <cell r="CQ25">
            <v>994</v>
          </cell>
          <cell r="CR25" t="str">
            <v>Biomica Exec. MGMT</v>
          </cell>
          <cell r="CS25" t="str">
            <v>CEO</v>
          </cell>
          <cell r="CT25" t="str">
            <v>אלרן</v>
          </cell>
          <cell r="CU25" t="str">
            <v>חבר</v>
          </cell>
          <cell r="CV25">
            <v>51329.315212342903</v>
          </cell>
          <cell r="CW25">
            <v>21917.55050646055</v>
          </cell>
          <cell r="CX25">
            <v>21917.55050646055</v>
          </cell>
          <cell r="CY25">
            <v>21917.55050646055</v>
          </cell>
          <cell r="CZ25">
            <v>21917.55050646055</v>
          </cell>
          <cell r="DA25">
            <v>21917.55050646055</v>
          </cell>
          <cell r="DB25">
            <v>21917.55050646055</v>
          </cell>
          <cell r="DC25">
            <v>21917.55050646055</v>
          </cell>
          <cell r="DD25">
            <v>21917.55050646055</v>
          </cell>
          <cell r="DE25">
            <v>21917.55050646055</v>
          </cell>
          <cell r="DF25">
            <v>21917.55050646055</v>
          </cell>
          <cell r="DG25">
            <v>21917.55050646055</v>
          </cell>
          <cell r="DH25">
            <v>292422.37078340887</v>
          </cell>
        </row>
        <row r="26">
          <cell r="B26">
            <v>601</v>
          </cell>
          <cell r="C26" t="str">
            <v>Corporate Exec. MGMT</v>
          </cell>
          <cell r="P26" t="str">
            <v>Corteva</v>
          </cell>
          <cell r="Q26" t="str">
            <v>P143 - Corteva</v>
          </cell>
          <cell r="R26" t="str">
            <v>Lavie Bio</v>
          </cell>
          <cell r="S26" t="str">
            <v>P143</v>
          </cell>
          <cell r="BN26" t="str">
            <v>T206 - GR</v>
          </cell>
          <cell r="BW26">
            <v>0</v>
          </cell>
          <cell r="CP26" t="str">
            <v>שירי משנר</v>
          </cell>
          <cell r="CQ26">
            <v>999</v>
          </cell>
          <cell r="CR26" t="str">
            <v>Biomica RD</v>
          </cell>
          <cell r="CS26" t="str">
            <v xml:space="preserve">VP R&amp;D </v>
          </cell>
          <cell r="CT26" t="str">
            <v>שירי</v>
          </cell>
          <cell r="CU26" t="str">
            <v>משנר</v>
          </cell>
          <cell r="CV26">
            <v>21155.031597353347</v>
          </cell>
          <cell r="CW26">
            <v>15458.561009118055</v>
          </cell>
          <cell r="CX26">
            <v>15458.561009118055</v>
          </cell>
          <cell r="CY26">
            <v>15458.561009118055</v>
          </cell>
          <cell r="CZ26">
            <v>15458.561009118055</v>
          </cell>
          <cell r="DA26">
            <v>15458.561009118055</v>
          </cell>
          <cell r="DB26">
            <v>15458.561009118055</v>
          </cell>
          <cell r="DC26">
            <v>15458.561009118055</v>
          </cell>
          <cell r="DD26">
            <v>15458.561009118055</v>
          </cell>
          <cell r="DE26">
            <v>15458.561009118055</v>
          </cell>
          <cell r="DF26">
            <v>15458.561009118055</v>
          </cell>
          <cell r="DG26">
            <v>15458.561009118055</v>
          </cell>
          <cell r="DH26">
            <v>191199.20269765193</v>
          </cell>
        </row>
        <row r="27">
          <cell r="B27">
            <v>411</v>
          </cell>
          <cell r="C27" t="str">
            <v>Data Generation</v>
          </cell>
          <cell r="P27" t="str">
            <v>Corteva - IA</v>
          </cell>
          <cell r="Q27" t="str">
            <v>P145-Corteva - IA</v>
          </cell>
          <cell r="R27" t="str">
            <v>Lavie Bio</v>
          </cell>
          <cell r="S27" t="str">
            <v>P145</v>
          </cell>
          <cell r="BN27" t="str">
            <v>T207 - CP</v>
          </cell>
          <cell r="BW27">
            <v>90882.213788667505</v>
          </cell>
          <cell r="CP27" t="str">
            <v>שירלי קרוגר</v>
          </cell>
          <cell r="CQ27">
            <v>999</v>
          </cell>
          <cell r="CR27" t="str">
            <v>Biomica RD</v>
          </cell>
          <cell r="CS27" t="str">
            <v>Head of Computational Microbiome Research</v>
          </cell>
          <cell r="CT27" t="str">
            <v>שירלי</v>
          </cell>
          <cell r="CU27" t="str">
            <v>קרוגר</v>
          </cell>
          <cell r="CV27">
            <v>12983.3743111277</v>
          </cell>
          <cell r="CW27">
            <v>9502.1978405394657</v>
          </cell>
          <cell r="CX27">
            <v>9502.1978405394657</v>
          </cell>
          <cell r="CY27">
            <v>9502.1978405394657</v>
          </cell>
          <cell r="CZ27">
            <v>9502.1978405394657</v>
          </cell>
          <cell r="DA27">
            <v>9502.1978405394657</v>
          </cell>
          <cell r="DB27">
            <v>9502.1978405394657</v>
          </cell>
          <cell r="DC27">
            <v>9502.1978405394657</v>
          </cell>
          <cell r="DD27">
            <v>9502.1978405394657</v>
          </cell>
          <cell r="DE27">
            <v>9502.1978405394657</v>
          </cell>
          <cell r="DF27">
            <v>9502.1978405394657</v>
          </cell>
          <cell r="DG27">
            <v>9502.1978405394657</v>
          </cell>
          <cell r="DH27">
            <v>117507.5505570618</v>
          </cell>
        </row>
        <row r="28">
          <cell r="B28">
            <v>420</v>
          </cell>
          <cell r="C28" t="str">
            <v>DevOps</v>
          </cell>
          <cell r="P28" t="str">
            <v>Thrivus</v>
          </cell>
          <cell r="Q28" t="str">
            <v>P19 - Thrivus</v>
          </cell>
          <cell r="R28" t="str">
            <v>Lavie Bio</v>
          </cell>
          <cell r="S28" t="str">
            <v>P19</v>
          </cell>
          <cell r="BN28" t="str">
            <v>T208 - MB</v>
          </cell>
          <cell r="BW28">
            <v>110786.72795250404</v>
          </cell>
          <cell r="CP28" t="str">
            <v>אודי רינגל</v>
          </cell>
          <cell r="CQ28">
            <v>999</v>
          </cell>
          <cell r="CR28" t="str">
            <v>Biomica RD</v>
          </cell>
          <cell r="CS28" t="str">
            <v>CSO</v>
          </cell>
          <cell r="CT28" t="str">
            <v>אודי</v>
          </cell>
          <cell r="CU28" t="str">
            <v>רינגל</v>
          </cell>
          <cell r="CV28">
            <v>11595.327269546766</v>
          </cell>
          <cell r="CW28">
            <v>8826.2096224879424</v>
          </cell>
          <cell r="CX28">
            <v>8826.2096224879424</v>
          </cell>
          <cell r="CY28">
            <v>8826.2096224879424</v>
          </cell>
          <cell r="CZ28">
            <v>8826.2096224879424</v>
          </cell>
          <cell r="DA28">
            <v>8826.2096224879424</v>
          </cell>
          <cell r="DB28">
            <v>8826.2096224879424</v>
          </cell>
          <cell r="DC28">
            <v>8826.2096224879424</v>
          </cell>
          <cell r="DD28">
            <v>8826.2096224879424</v>
          </cell>
          <cell r="DE28">
            <v>8826.2096224879424</v>
          </cell>
          <cell r="DF28">
            <v>8826.2096224879424</v>
          </cell>
          <cell r="DG28">
            <v>8826.2096224879424</v>
          </cell>
          <cell r="DH28">
            <v>108683.63311691416</v>
          </cell>
        </row>
        <row r="29">
          <cell r="B29">
            <v>650</v>
          </cell>
          <cell r="C29" t="str">
            <v>Evogene CSO</v>
          </cell>
          <cell r="P29" t="str">
            <v>Lavie_programs</v>
          </cell>
          <cell r="Q29" t="str">
            <v>P192-Lavie programs</v>
          </cell>
          <cell r="R29" t="str">
            <v>Lavie Bio</v>
          </cell>
          <cell r="S29" t="str">
            <v>P192</v>
          </cell>
          <cell r="BN29" t="str">
            <v>T209 - Computational</v>
          </cell>
          <cell r="BW29">
            <v>195109.00267357656</v>
          </cell>
          <cell r="CP29" t="str">
            <v>שירי  אשחר</v>
          </cell>
          <cell r="CQ29">
            <v>999</v>
          </cell>
          <cell r="CR29" t="str">
            <v>Biomica RD</v>
          </cell>
          <cell r="CS29" t="str">
            <v>Head of Experimental Research</v>
          </cell>
          <cell r="CT29" t="str">
            <v xml:space="preserve">שירי </v>
          </cell>
          <cell r="CU29" t="str">
            <v>אשחר</v>
          </cell>
          <cell r="CV29">
            <v>13823.298054399775</v>
          </cell>
          <cell r="CW29">
            <v>10104.76864263507</v>
          </cell>
          <cell r="CX29">
            <v>10104.76864263507</v>
          </cell>
          <cell r="CY29">
            <v>10104.76864263507</v>
          </cell>
          <cell r="CZ29">
            <v>10104.76864263507</v>
          </cell>
          <cell r="DA29">
            <v>10104.76864263507</v>
          </cell>
          <cell r="DB29">
            <v>10104.76864263507</v>
          </cell>
          <cell r="DC29">
            <v>10104.76864263507</v>
          </cell>
          <cell r="DD29">
            <v>10104.76864263507</v>
          </cell>
          <cell r="DE29">
            <v>10104.76864263507</v>
          </cell>
          <cell r="DF29">
            <v>10104.76864263507</v>
          </cell>
          <cell r="DG29">
            <v>10104.76864263507</v>
          </cell>
          <cell r="DH29">
            <v>124975.75312338556</v>
          </cell>
        </row>
        <row r="30">
          <cell r="B30">
            <v>997</v>
          </cell>
          <cell r="C30" t="str">
            <v>Evogene INC</v>
          </cell>
          <cell r="P30" t="str">
            <v>ICL</v>
          </cell>
          <cell r="Q30" t="str">
            <v>P82 - ICL</v>
          </cell>
          <cell r="R30" t="str">
            <v>Lavie Bio</v>
          </cell>
          <cell r="S30" t="str">
            <v>P82</v>
          </cell>
          <cell r="BN30" t="str">
            <v>T210 - Experimnetal</v>
          </cell>
          <cell r="BW30">
            <v>42258.99967403779</v>
          </cell>
          <cell r="CP30" t="str">
            <v>אוסנת תירוש</v>
          </cell>
          <cell r="CQ30">
            <v>999</v>
          </cell>
          <cell r="CR30" t="str">
            <v>Biomica RD</v>
          </cell>
          <cell r="CS30" t="str">
            <v>Head of Microbiome Research &amp; Innovation</v>
          </cell>
          <cell r="CT30" t="str">
            <v>אוסנת</v>
          </cell>
          <cell r="CU30" t="str">
            <v>תירוש</v>
          </cell>
          <cell r="CV30">
            <v>12819.550146421816</v>
          </cell>
          <cell r="CW30">
            <v>9338.3736758335817</v>
          </cell>
          <cell r="CX30">
            <v>9338.3736758335817</v>
          </cell>
          <cell r="CY30">
            <v>9338.3736758335817</v>
          </cell>
          <cell r="CZ30">
            <v>9338.3736758335817</v>
          </cell>
          <cell r="DA30">
            <v>9338.3736758335817</v>
          </cell>
          <cell r="DB30">
            <v>9338.3736758335817</v>
          </cell>
          <cell r="DC30">
            <v>9338.3736758335817</v>
          </cell>
          <cell r="DD30">
            <v>9338.3736758335817</v>
          </cell>
          <cell r="DE30">
            <v>9338.3736758335817</v>
          </cell>
          <cell r="DF30">
            <v>9338.3736758335817</v>
          </cell>
          <cell r="DG30">
            <v>9338.3736758335817</v>
          </cell>
          <cell r="DH30">
            <v>115541.66058059124</v>
          </cell>
        </row>
        <row r="31">
          <cell r="B31">
            <v>607</v>
          </cell>
          <cell r="C31" t="str">
            <v>Finance</v>
          </cell>
          <cell r="P31" t="str">
            <v>Product-CP</v>
          </cell>
          <cell r="Q31" t="str">
            <v>P264 - Product-CP</v>
          </cell>
          <cell r="R31" t="str">
            <v>Product</v>
          </cell>
          <cell r="S31" t="str">
            <v>P264</v>
          </cell>
          <cell r="BN31" t="str">
            <v>T299 - Margin CPB</v>
          </cell>
          <cell r="BO31" t="str">
            <v>Margin CPB Fixed cost</v>
          </cell>
          <cell r="BP31" t="str">
            <v>B40/22.P997.422.XXX-T299</v>
          </cell>
          <cell r="BQ31" t="str">
            <v>Fixed - Specific</v>
          </cell>
          <cell r="BR31" t="str">
            <v>422</v>
          </cell>
          <cell r="BS31" t="str">
            <v>B40</v>
          </cell>
          <cell r="BT31" t="str">
            <v>CPB</v>
          </cell>
          <cell r="BU31" t="str">
            <v>Evogene service</v>
          </cell>
          <cell r="BV31" t="str">
            <v>Period</v>
          </cell>
          <cell r="BW31">
            <v>0</v>
          </cell>
          <cell r="CP31" t="str">
            <v>עומרי פולונסקי</v>
          </cell>
          <cell r="CQ31">
            <v>999</v>
          </cell>
          <cell r="CR31" t="str">
            <v>Biomica RD</v>
          </cell>
          <cell r="CS31" t="str">
            <v>Fermentations Team Lead</v>
          </cell>
          <cell r="CT31" t="str">
            <v>עומרי</v>
          </cell>
          <cell r="CU31" t="str">
            <v>פולונסקי</v>
          </cell>
          <cell r="CV31">
            <v>10603.402289853146</v>
          </cell>
          <cell r="CW31">
            <v>7755.166995735497</v>
          </cell>
          <cell r="CX31">
            <v>7755.166995735497</v>
          </cell>
          <cell r="CY31">
            <v>7755.166995735497</v>
          </cell>
          <cell r="CZ31">
            <v>7755.166995735497</v>
          </cell>
          <cell r="DA31">
            <v>7755.166995735497</v>
          </cell>
          <cell r="DB31">
            <v>7755.166995735497</v>
          </cell>
          <cell r="DC31">
            <v>7755.166995735497</v>
          </cell>
          <cell r="DD31">
            <v>7755.166995735497</v>
          </cell>
          <cell r="DE31">
            <v>7755.166995735497</v>
          </cell>
          <cell r="DF31">
            <v>7755.166995735497</v>
          </cell>
          <cell r="DG31">
            <v>7755.166995735497</v>
          </cell>
          <cell r="DH31">
            <v>95910.239242943586</v>
          </cell>
        </row>
        <row r="32">
          <cell r="B32">
            <v>603</v>
          </cell>
          <cell r="C32" t="str">
            <v>HR</v>
          </cell>
          <cell r="P32" t="str">
            <v>Product- MB</v>
          </cell>
          <cell r="Q32" t="str">
            <v>P265 - Product- MB</v>
          </cell>
          <cell r="R32" t="str">
            <v>Product</v>
          </cell>
          <cell r="S32" t="str">
            <v>P265</v>
          </cell>
          <cell r="BN32" t="str">
            <v>T301 - Green House Controlled</v>
          </cell>
          <cell r="BO32" t="str">
            <v>Green House Controlled Fixed cost  Per annual 50 SQM</v>
          </cell>
          <cell r="BP32" t="str">
            <v>B90/22.P997.425.XXX-T301</v>
          </cell>
          <cell r="BQ32" t="str">
            <v>Annual per unit</v>
          </cell>
          <cell r="BR32" t="str">
            <v>425</v>
          </cell>
          <cell r="BS32" t="str">
            <v>B90</v>
          </cell>
          <cell r="BT32" t="str">
            <v>CPB</v>
          </cell>
          <cell r="BU32" t="str">
            <v>Evogene service</v>
          </cell>
          <cell r="BV32" t="str">
            <v>Period</v>
          </cell>
          <cell r="BW32">
            <v>1250</v>
          </cell>
          <cell r="CP32" t="str">
            <v>אביתר ברייר</v>
          </cell>
          <cell r="CQ32">
            <v>999</v>
          </cell>
          <cell r="CR32" t="str">
            <v>Biomica RD</v>
          </cell>
          <cell r="CS32" t="str">
            <v>Research Assistant Microbiology</v>
          </cell>
          <cell r="CT32" t="str">
            <v>אביתר</v>
          </cell>
          <cell r="CU32" t="str">
            <v>ברייר</v>
          </cell>
          <cell r="CV32">
            <v>7301.3397755883716</v>
          </cell>
          <cell r="CW32">
            <v>5402.5162461766067</v>
          </cell>
          <cell r="CX32">
            <v>5402.5162461766067</v>
          </cell>
          <cell r="CY32">
            <v>5402.5162461766067</v>
          </cell>
          <cell r="CZ32">
            <v>5402.5162461766067</v>
          </cell>
          <cell r="DA32">
            <v>5402.5162461766067</v>
          </cell>
          <cell r="DB32">
            <v>5402.5162461766067</v>
          </cell>
          <cell r="DC32">
            <v>5402.5162461766067</v>
          </cell>
          <cell r="DD32">
            <v>5402.5162461766067</v>
          </cell>
          <cell r="DE32">
            <v>5402.5162461766067</v>
          </cell>
          <cell r="DF32">
            <v>5402.5162461766067</v>
          </cell>
          <cell r="DG32">
            <v>5402.5162461766067</v>
          </cell>
          <cell r="DH32">
            <v>66729.018483531065</v>
          </cell>
        </row>
        <row r="33">
          <cell r="B33">
            <v>605</v>
          </cell>
          <cell r="C33" t="str">
            <v>IP</v>
          </cell>
          <cell r="P33" t="str">
            <v>Product- GR</v>
          </cell>
          <cell r="Q33" t="str">
            <v>P266 - Product- GR</v>
          </cell>
          <cell r="R33" t="str">
            <v>Product</v>
          </cell>
          <cell r="S33" t="str">
            <v>P266</v>
          </cell>
          <cell r="BN33" t="str">
            <v>T302 - Green House Non-Controlled</v>
          </cell>
          <cell r="BO33" t="str">
            <v>Green House Non-Controlled Fixed cost  Per annual 200 SQM</v>
          </cell>
          <cell r="BP33" t="str">
            <v>B90/22.P997.425.XXX-T302</v>
          </cell>
          <cell r="BQ33" t="str">
            <v>Annual per unit</v>
          </cell>
          <cell r="BR33" t="str">
            <v>425</v>
          </cell>
          <cell r="BS33" t="str">
            <v>B90</v>
          </cell>
          <cell r="BT33" t="str">
            <v>CPB</v>
          </cell>
          <cell r="BU33" t="str">
            <v>Evogene service</v>
          </cell>
          <cell r="BV33" t="str">
            <v>Period</v>
          </cell>
          <cell r="BW33">
            <v>0</v>
          </cell>
          <cell r="CP33" t="str">
            <v>הילה בן יהודה</v>
          </cell>
          <cell r="CQ33">
            <v>999</v>
          </cell>
          <cell r="CR33" t="str">
            <v>Biomica RD</v>
          </cell>
          <cell r="CS33" t="str">
            <v>Researcher</v>
          </cell>
          <cell r="CT33" t="str">
            <v>הילה</v>
          </cell>
          <cell r="CU33" t="str">
            <v>בן יהודה</v>
          </cell>
          <cell r="CV33">
            <v>10229.690175429119</v>
          </cell>
          <cell r="CW33">
            <v>7460.5725283702959</v>
          </cell>
          <cell r="CX33">
            <v>7460.5725283702959</v>
          </cell>
          <cell r="CY33">
            <v>7460.5725283702959</v>
          </cell>
          <cell r="CZ33">
            <v>7460.5725283702959</v>
          </cell>
          <cell r="DA33">
            <v>7460.5725283702959</v>
          </cell>
          <cell r="DB33">
            <v>7460.5725283702959</v>
          </cell>
          <cell r="DC33">
            <v>7460.5725283702959</v>
          </cell>
          <cell r="DD33">
            <v>7460.5725283702959</v>
          </cell>
          <cell r="DE33">
            <v>7460.5725283702959</v>
          </cell>
          <cell r="DF33">
            <v>7460.5725283702959</v>
          </cell>
          <cell r="DG33">
            <v>7460.5725283702959</v>
          </cell>
          <cell r="DH33">
            <v>92295.987987502347</v>
          </cell>
        </row>
        <row r="34">
          <cell r="B34">
            <v>609</v>
          </cell>
          <cell r="C34" t="str">
            <v>IP Part time</v>
          </cell>
          <cell r="P34" t="str">
            <v xml:space="preserve">Product- Upkeep GR </v>
          </cell>
          <cell r="Q34" t="str">
            <v xml:space="preserve">P272 - Product- Upkeep GR </v>
          </cell>
          <cell r="R34" t="str">
            <v>Product</v>
          </cell>
          <cell r="S34" t="str">
            <v>P272</v>
          </cell>
          <cell r="BN34" t="str">
            <v>T303 - Office utilities</v>
          </cell>
          <cell r="BO34" t="str">
            <v>Office utilities Fixed cost</v>
          </cell>
          <cell r="BP34" t="str">
            <v>B90/22.P997.425.XXX-T303</v>
          </cell>
          <cell r="BQ34" t="str">
            <v>Fixed - Specific</v>
          </cell>
          <cell r="BR34" t="str">
            <v>425</v>
          </cell>
          <cell r="BS34" t="str">
            <v>B90</v>
          </cell>
          <cell r="BT34" t="str">
            <v>Corporate</v>
          </cell>
          <cell r="BU34" t="str">
            <v>Evogene service</v>
          </cell>
          <cell r="BV34" t="str">
            <v>Period</v>
          </cell>
          <cell r="BW34">
            <v>148271.70721050372</v>
          </cell>
          <cell r="CP34" t="str">
            <v>נעה דייויס</v>
          </cell>
          <cell r="CQ34">
            <v>999</v>
          </cell>
          <cell r="CR34" t="str">
            <v>Biomica RD</v>
          </cell>
          <cell r="CS34" t="str">
            <v>CRM</v>
          </cell>
          <cell r="CT34" t="str">
            <v>נעה</v>
          </cell>
          <cell r="CU34" t="str">
            <v>דייויס</v>
          </cell>
          <cell r="CV34">
            <v>12103.486661973271</v>
          </cell>
          <cell r="CW34">
            <v>8859.6631325615053</v>
          </cell>
          <cell r="CX34">
            <v>8859.6631325615053</v>
          </cell>
          <cell r="CY34">
            <v>8859.6631325615053</v>
          </cell>
          <cell r="CZ34">
            <v>8859.6631325615053</v>
          </cell>
          <cell r="DA34">
            <v>8859.6631325615053</v>
          </cell>
          <cell r="DB34">
            <v>8859.6631325615053</v>
          </cell>
          <cell r="DC34">
            <v>8859.6631325615053</v>
          </cell>
          <cell r="DD34">
            <v>8859.6631325615053</v>
          </cell>
          <cell r="DE34">
            <v>8859.6631325615053</v>
          </cell>
          <cell r="DF34">
            <v>8859.6631325615053</v>
          </cell>
          <cell r="DG34">
            <v>8859.6631325615053</v>
          </cell>
          <cell r="DH34">
            <v>109559.7811201498</v>
          </cell>
        </row>
        <row r="35">
          <cell r="B35">
            <v>606</v>
          </cell>
          <cell r="C35" t="str">
            <v>IR\PR</v>
          </cell>
          <cell r="P35" t="str">
            <v xml:space="preserve">Product- Upkeep MB </v>
          </cell>
          <cell r="Q35" t="str">
            <v xml:space="preserve">P273 - Product- Upkeep MB </v>
          </cell>
          <cell r="R35" t="str">
            <v>Product</v>
          </cell>
          <cell r="S35" t="str">
            <v>P273</v>
          </cell>
          <cell r="BN35" t="str">
            <v>T304 - Labs utilities</v>
          </cell>
          <cell r="BO35" t="str">
            <v>Labs utilities Fixed cost</v>
          </cell>
          <cell r="BP35" t="str">
            <v>B90/22.P997.425.XXX-T304</v>
          </cell>
          <cell r="BQ35" t="str">
            <v>Fixed - Specific</v>
          </cell>
          <cell r="BR35" t="str">
            <v>425</v>
          </cell>
          <cell r="BS35" t="str">
            <v>B90</v>
          </cell>
          <cell r="BT35" t="str">
            <v>Corporate</v>
          </cell>
          <cell r="BU35" t="str">
            <v>Evogene service</v>
          </cell>
          <cell r="BV35" t="str">
            <v>Period</v>
          </cell>
          <cell r="BW35">
            <v>72424.688837470225</v>
          </cell>
          <cell r="CP35" t="str">
            <v>מיטל כהן עסיס</v>
          </cell>
          <cell r="CQ35">
            <v>999</v>
          </cell>
          <cell r="CR35" t="str">
            <v>Biomica RD</v>
          </cell>
          <cell r="CS35" t="str">
            <v>Head of Product Development</v>
          </cell>
          <cell r="CT35" t="str">
            <v>מיטל</v>
          </cell>
          <cell r="CU35" t="str">
            <v>כהן עסיס</v>
          </cell>
          <cell r="CV35">
            <v>16260.236272451299</v>
          </cell>
          <cell r="CW35">
            <v>11829.64803715718</v>
          </cell>
          <cell r="CX35">
            <v>11829.64803715718</v>
          </cell>
          <cell r="CY35">
            <v>11829.64803715718</v>
          </cell>
          <cell r="CZ35">
            <v>11829.64803715718</v>
          </cell>
          <cell r="DA35">
            <v>11829.64803715718</v>
          </cell>
          <cell r="DB35">
            <v>11829.64803715718</v>
          </cell>
          <cell r="DC35">
            <v>11829.64803715718</v>
          </cell>
          <cell r="DD35">
            <v>11829.64803715718</v>
          </cell>
          <cell r="DE35">
            <v>11829.64803715718</v>
          </cell>
          <cell r="DF35">
            <v>11829.64803715718</v>
          </cell>
          <cell r="DG35">
            <v>11829.64803715718</v>
          </cell>
          <cell r="DH35">
            <v>146386.36468118028</v>
          </cell>
        </row>
        <row r="36">
          <cell r="B36">
            <v>421</v>
          </cell>
          <cell r="C36" t="str">
            <v>IT</v>
          </cell>
          <cell r="P36" t="str">
            <v xml:space="preserve">Product- Upkeep CP </v>
          </cell>
          <cell r="Q36" t="str">
            <v xml:space="preserve">P274 - Product- Upkeep CP </v>
          </cell>
          <cell r="R36" t="str">
            <v>Product</v>
          </cell>
          <cell r="S36" t="str">
            <v>P274</v>
          </cell>
          <cell r="BN36" t="str">
            <v>T399 - Margin Operation</v>
          </cell>
          <cell r="BO36" t="str">
            <v>Margin Operation Fixed cost</v>
          </cell>
          <cell r="BP36" t="str">
            <v>B90/22.P997.425.XXX-T399</v>
          </cell>
          <cell r="BQ36" t="str">
            <v>Fixed - Specific</v>
          </cell>
          <cell r="BR36" t="str">
            <v>425</v>
          </cell>
          <cell r="BS36" t="str">
            <v>B90</v>
          </cell>
          <cell r="BT36" t="str">
            <v>Corporate</v>
          </cell>
          <cell r="BU36" t="str">
            <v>Evogene service</v>
          </cell>
          <cell r="BV36" t="str">
            <v>Period</v>
          </cell>
          <cell r="BW36">
            <v>0</v>
          </cell>
          <cell r="CP36" t="str">
            <v>אירינה דוברוטבורסקי</v>
          </cell>
          <cell r="CQ36">
            <v>999</v>
          </cell>
          <cell r="CR36" t="str">
            <v>Biomica RD</v>
          </cell>
          <cell r="CS36" t="str">
            <v>Tissue culture specialist</v>
          </cell>
          <cell r="CT36" t="str">
            <v>אירינה</v>
          </cell>
          <cell r="CU36" t="str">
            <v>דוברוטבורסקי</v>
          </cell>
          <cell r="CV36">
            <v>9544.7452439217486</v>
          </cell>
          <cell r="CW36">
            <v>7012.9805380393964</v>
          </cell>
          <cell r="CX36">
            <v>7012.9805380393964</v>
          </cell>
          <cell r="CY36">
            <v>7012.9805380393964</v>
          </cell>
          <cell r="CZ36">
            <v>7012.9805380393964</v>
          </cell>
          <cell r="DA36">
            <v>7012.9805380393964</v>
          </cell>
          <cell r="DB36">
            <v>7012.9805380393964</v>
          </cell>
          <cell r="DC36">
            <v>7012.9805380393964</v>
          </cell>
          <cell r="DD36">
            <v>7012.9805380393964</v>
          </cell>
          <cell r="DE36">
            <v>7012.9805380393964</v>
          </cell>
          <cell r="DF36">
            <v>7012.9805380393964</v>
          </cell>
          <cell r="DG36">
            <v>7012.9805380393964</v>
          </cell>
          <cell r="DH36">
            <v>86687.53116235511</v>
          </cell>
        </row>
        <row r="37">
          <cell r="B37">
            <v>102</v>
          </cell>
          <cell r="C37" t="str">
            <v>Lavie Bio BD .LTD</v>
          </cell>
          <cell r="P37" t="str">
            <v>CrisprIL_WP1</v>
          </cell>
          <cell r="Q37" t="str">
            <v>P277 - CrisprIL_WP1</v>
          </cell>
          <cell r="R37" t="str">
            <v>Product</v>
          </cell>
          <cell r="S37" t="str">
            <v>P277</v>
          </cell>
          <cell r="BN37" t="str">
            <v>T901 - Finance &amp; Purchasing &amp;D&amp;O</v>
          </cell>
          <cell r="BP37" t="str">
            <v>B90/62.P997.607.XXX-T901</v>
          </cell>
          <cell r="BQ37" t="str">
            <v>Per 1 organic FTE</v>
          </cell>
          <cell r="BR37" t="str">
            <v>607</v>
          </cell>
          <cell r="BS37" t="str">
            <v>B90</v>
          </cell>
          <cell r="BT37" t="str">
            <v>Corporate</v>
          </cell>
          <cell r="BU37" t="str">
            <v>Evogene service</v>
          </cell>
          <cell r="BV37" t="str">
            <v>Period</v>
          </cell>
          <cell r="BW37">
            <v>29591.9568</v>
          </cell>
          <cell r="CP37" t="str">
            <v>לירון קידר</v>
          </cell>
          <cell r="CQ37">
            <v>999</v>
          </cell>
          <cell r="CR37" t="str">
            <v>Biomica RD</v>
          </cell>
          <cell r="CS37" t="str">
            <v>Fermentation Research Associate</v>
          </cell>
          <cell r="CT37" t="str">
            <v>לירון</v>
          </cell>
          <cell r="CU37" t="str">
            <v>קידר</v>
          </cell>
          <cell r="CV37">
            <v>6746.6239820344381</v>
          </cell>
          <cell r="CW37">
            <v>5006.0357467403201</v>
          </cell>
          <cell r="CX37">
            <v>5006.0357467403201</v>
          </cell>
          <cell r="CY37">
            <v>5006.0357467403201</v>
          </cell>
          <cell r="CZ37">
            <v>5006.0357467403201</v>
          </cell>
          <cell r="DA37">
            <v>5006.0357467403201</v>
          </cell>
          <cell r="DB37">
            <v>5006.0357467403201</v>
          </cell>
          <cell r="DC37">
            <v>5006.0357467403201</v>
          </cell>
          <cell r="DD37">
            <v>5006.0357467403201</v>
          </cell>
          <cell r="DE37">
            <v>5006.0357467403201</v>
          </cell>
          <cell r="DF37">
            <v>5006.0357467403201</v>
          </cell>
          <cell r="DG37">
            <v>5006.0357467403201</v>
          </cell>
          <cell r="DH37">
            <v>61813.017196177971</v>
          </cell>
        </row>
        <row r="38">
          <cell r="B38">
            <v>105</v>
          </cell>
          <cell r="C38" t="str">
            <v>Lavie Bio Development .LTD</v>
          </cell>
          <cell r="P38" t="str">
            <v>CrisprIL_WP4</v>
          </cell>
          <cell r="Q38" t="str">
            <v>P278 - CrisprIL_WP4</v>
          </cell>
          <cell r="R38" t="str">
            <v>Product</v>
          </cell>
          <cell r="S38" t="str">
            <v>P278</v>
          </cell>
          <cell r="BN38" t="str">
            <v>T902 - HR</v>
          </cell>
          <cell r="BP38" t="str">
            <v>B90/62.P997.603.XXX-T902</v>
          </cell>
          <cell r="BQ38" t="str">
            <v>Per 1 organic FTE</v>
          </cell>
          <cell r="BR38" t="str">
            <v>603</v>
          </cell>
          <cell r="BS38" t="str">
            <v>B90</v>
          </cell>
          <cell r="BT38" t="str">
            <v>Corporate</v>
          </cell>
          <cell r="BU38" t="str">
            <v>Evogene service</v>
          </cell>
          <cell r="BV38" t="str">
            <v>Period</v>
          </cell>
          <cell r="BW38">
            <v>66120</v>
          </cell>
          <cell r="CP38" t="str">
            <v>יפעת זומר</v>
          </cell>
          <cell r="CQ38">
            <v>994</v>
          </cell>
          <cell r="CR38" t="str">
            <v>Biomica Exec. MGMT</v>
          </cell>
          <cell r="CS38" t="str">
            <v>VP Finance</v>
          </cell>
          <cell r="CT38" t="str">
            <v>יפעת</v>
          </cell>
          <cell r="CU38" t="str">
            <v>זומר</v>
          </cell>
          <cell r="CV38">
            <v>18498.733281961144</v>
          </cell>
          <cell r="CW38">
            <v>13435.203870196439</v>
          </cell>
          <cell r="CX38">
            <v>13435.203870196439</v>
          </cell>
          <cell r="CY38">
            <v>13435.203870196439</v>
          </cell>
          <cell r="CZ38">
            <v>13435.203870196439</v>
          </cell>
          <cell r="DA38">
            <v>13435.203870196439</v>
          </cell>
          <cell r="DB38">
            <v>13435.203870196439</v>
          </cell>
          <cell r="DC38">
            <v>13435.203870196439</v>
          </cell>
          <cell r="DD38">
            <v>13435.203870196439</v>
          </cell>
          <cell r="DE38">
            <v>13435.203870196439</v>
          </cell>
          <cell r="DF38">
            <v>13435.203870196439</v>
          </cell>
          <cell r="DG38">
            <v>13435.203870196439</v>
          </cell>
          <cell r="DH38">
            <v>166285.97585412196</v>
          </cell>
        </row>
        <row r="39">
          <cell r="B39">
            <v>101</v>
          </cell>
          <cell r="C39" t="str">
            <v xml:space="preserve"> Lavie Bio Exec. MGMT</v>
          </cell>
          <cell r="P39" t="str">
            <v>CrisprIL_Prediction</v>
          </cell>
          <cell r="Q39" t="str">
            <v>P280 - CrisprIL_Prediction</v>
          </cell>
          <cell r="R39" t="str">
            <v>Product</v>
          </cell>
          <cell r="S39" t="str">
            <v>P280</v>
          </cell>
          <cell r="BP39" t="str">
            <v>B90/22.P997.608.XXX-T903</v>
          </cell>
          <cell r="BQ39" t="str">
            <v>Per 1 organic FTE</v>
          </cell>
          <cell r="BR39" t="str">
            <v>608</v>
          </cell>
          <cell r="BS39" t="str">
            <v>B90</v>
          </cell>
          <cell r="BT39" t="str">
            <v>Corporate</v>
          </cell>
          <cell r="BU39" t="str">
            <v>Evogene service</v>
          </cell>
          <cell r="BV39" t="str">
            <v>Period</v>
          </cell>
        </row>
        <row r="40">
          <cell r="B40">
            <v>121</v>
          </cell>
          <cell r="C40" t="str">
            <v>Lavie Bio INC</v>
          </cell>
          <cell r="P40" t="str">
            <v>Product general</v>
          </cell>
          <cell r="Q40" t="str">
            <v>P282-Product general</v>
          </cell>
          <cell r="R40" t="str">
            <v>Product</v>
          </cell>
          <cell r="S40" t="str">
            <v>P282</v>
          </cell>
          <cell r="BN40" t="str">
            <v>T904 - IT</v>
          </cell>
          <cell r="BP40" t="str">
            <v>B40/22.P97.421.XXX-T904</v>
          </cell>
          <cell r="BQ40" t="str">
            <v>Per 1 organic FTE</v>
          </cell>
          <cell r="BR40" t="str">
            <v>421</v>
          </cell>
          <cell r="BS40" t="str">
            <v>B40</v>
          </cell>
          <cell r="BT40" t="str">
            <v>CPB</v>
          </cell>
          <cell r="BU40" t="str">
            <v>Evogene service</v>
          </cell>
          <cell r="BV40" t="str">
            <v>Period</v>
          </cell>
          <cell r="CP40" t="str">
            <v>Researcher 1 TBR</v>
          </cell>
          <cell r="CQ40">
            <v>999</v>
          </cell>
          <cell r="CR40" t="str">
            <v>Biomica RD</v>
          </cell>
          <cell r="CS40" t="str">
            <v>Researcher</v>
          </cell>
          <cell r="CT40" t="str">
            <v>Researcher 1</v>
          </cell>
          <cell r="CU40" t="str">
            <v>TBR</v>
          </cell>
          <cell r="CV40">
            <v>7147.0588235294117</v>
          </cell>
          <cell r="CW40">
            <v>7147.0588235294117</v>
          </cell>
          <cell r="CX40">
            <v>7147.0588235294117</v>
          </cell>
          <cell r="CY40">
            <v>7147.0588235294117</v>
          </cell>
          <cell r="CZ40">
            <v>7147.0588235294117</v>
          </cell>
          <cell r="DA40">
            <v>7147.0588235294117</v>
          </cell>
          <cell r="DB40">
            <v>7147.0588235294117</v>
          </cell>
          <cell r="DC40">
            <v>7147.0588235294117</v>
          </cell>
          <cell r="DD40">
            <v>7147.0588235294117</v>
          </cell>
          <cell r="DE40">
            <v>7147.0588235294117</v>
          </cell>
          <cell r="DF40">
            <v>7147.0588235294117</v>
          </cell>
          <cell r="DG40">
            <v>7147.0588235294117</v>
          </cell>
          <cell r="DH40">
            <v>85764.705882352937</v>
          </cell>
        </row>
        <row r="41">
          <cell r="B41">
            <v>123</v>
          </cell>
          <cell r="C41" t="str">
            <v>Lavie Bio INC Admin</v>
          </cell>
          <cell r="P41" t="str">
            <v>Services</v>
          </cell>
          <cell r="Q41" t="str">
            <v>P997 - Services</v>
          </cell>
          <cell r="S41" t="str">
            <v>P997</v>
          </cell>
          <cell r="BN41" t="str">
            <v>T905 - IP</v>
          </cell>
          <cell r="BP41" t="str">
            <v>B90/22.P997.609.XXX-T905</v>
          </cell>
          <cell r="BQ41" t="str">
            <v>Per 1 organic FTE</v>
          </cell>
          <cell r="BR41" t="str">
            <v>609</v>
          </cell>
          <cell r="BS41" t="str">
            <v>B90</v>
          </cell>
          <cell r="BT41" t="str">
            <v>Corporate</v>
          </cell>
          <cell r="BU41" t="str">
            <v>Evogene service</v>
          </cell>
          <cell r="BV41" t="str">
            <v>Period</v>
          </cell>
          <cell r="BW41">
            <v>492.81512513468635</v>
          </cell>
          <cell r="CP41" t="str">
            <v>Technician - Tissue Culture TBR</v>
          </cell>
          <cell r="CQ41">
            <v>999</v>
          </cell>
          <cell r="CR41" t="str">
            <v>Biomica RD</v>
          </cell>
          <cell r="CS41" t="str">
            <v>Technician - Tissue Culture</v>
          </cell>
          <cell r="CT41" t="str">
            <v>Technician - Tissue Culture</v>
          </cell>
          <cell r="CU41" t="str">
            <v>TBR</v>
          </cell>
          <cell r="CX41">
            <v>5161.7647058823532</v>
          </cell>
          <cell r="CY41">
            <v>5161.7647058823532</v>
          </cell>
          <cell r="CZ41">
            <v>5161.7647058823532</v>
          </cell>
          <cell r="DA41">
            <v>5161.7647058823532</v>
          </cell>
          <cell r="DB41">
            <v>5161.7647058823532</v>
          </cell>
          <cell r="DC41">
            <v>5161.7647058823532</v>
          </cell>
          <cell r="DD41">
            <v>5161.7647058823532</v>
          </cell>
          <cell r="DE41">
            <v>5161.7647058823532</v>
          </cell>
          <cell r="DF41">
            <v>5161.7647058823532</v>
          </cell>
          <cell r="DG41">
            <v>5161.7647058823532</v>
          </cell>
          <cell r="DH41">
            <v>51617.647058823524</v>
          </cell>
        </row>
        <row r="42">
          <cell r="B42">
            <v>122</v>
          </cell>
          <cell r="C42" t="str">
            <v>Lavie Bio BD .INC</v>
          </cell>
          <cell r="P42" t="str">
            <v>Salaries</v>
          </cell>
          <cell r="Q42" t="str">
            <v>P998 - Salaries</v>
          </cell>
          <cell r="S42" t="str">
            <v>P998</v>
          </cell>
          <cell r="BP42" t="str">
            <v>B90/62.P997.607.XXX-T911</v>
          </cell>
          <cell r="BQ42" t="str">
            <v>Per Company</v>
          </cell>
          <cell r="BR42" t="str">
            <v>607</v>
          </cell>
          <cell r="BS42" t="str">
            <v>B90</v>
          </cell>
          <cell r="BT42" t="str">
            <v>Corporate</v>
          </cell>
          <cell r="BU42" t="str">
            <v>Evogene service</v>
          </cell>
          <cell r="BV42" t="str">
            <v>Period</v>
          </cell>
          <cell r="CP42" t="str">
            <v>Bookkeeper TBR</v>
          </cell>
          <cell r="CQ42">
            <v>999</v>
          </cell>
          <cell r="CR42" t="str">
            <v>Biomica Exec. MGMT</v>
          </cell>
          <cell r="CS42" t="str">
            <v>Bookkeeper</v>
          </cell>
          <cell r="CT42" t="str">
            <v>Bookkeeper</v>
          </cell>
          <cell r="CU42" t="str">
            <v>TBR</v>
          </cell>
          <cell r="CX42">
            <v>5955.8823529411766</v>
          </cell>
          <cell r="CY42">
            <v>5955.8823529411766</v>
          </cell>
          <cell r="CZ42">
            <v>5955.8823529411766</v>
          </cell>
          <cell r="DA42">
            <v>5955.8823529411766</v>
          </cell>
          <cell r="DB42">
            <v>5955.8823529411766</v>
          </cell>
          <cell r="DC42">
            <v>5955.8823529411766</v>
          </cell>
          <cell r="DD42">
            <v>5955.8823529411766</v>
          </cell>
          <cell r="DE42">
            <v>5955.8823529411766</v>
          </cell>
          <cell r="DF42">
            <v>5955.8823529411766</v>
          </cell>
          <cell r="DG42">
            <v>5955.8823529411766</v>
          </cell>
          <cell r="DH42">
            <v>59558.823529411755</v>
          </cell>
        </row>
        <row r="43">
          <cell r="B43">
            <v>120</v>
          </cell>
          <cell r="C43" t="str">
            <v>Lavie Bio Management .INC</v>
          </cell>
          <cell r="P43" t="str">
            <v>General</v>
          </cell>
          <cell r="Q43" t="str">
            <v>P999 - General</v>
          </cell>
          <cell r="S43" t="str">
            <v>P999</v>
          </cell>
          <cell r="BN43" t="str">
            <v>T912 - IRPR</v>
          </cell>
          <cell r="BP43" t="str">
            <v>B90/62.P997.606.XXX-T912</v>
          </cell>
          <cell r="BQ43" t="str">
            <v>Fixed - Specific</v>
          </cell>
          <cell r="BR43" t="str">
            <v>606</v>
          </cell>
          <cell r="BS43" t="str">
            <v>B90</v>
          </cell>
          <cell r="BT43" t="str">
            <v>Corporate</v>
          </cell>
          <cell r="BU43" t="str">
            <v>Evogene service</v>
          </cell>
          <cell r="BV43" t="str">
            <v>Period</v>
          </cell>
          <cell r="BW43">
            <v>10500</v>
          </cell>
          <cell r="CP43" t="str">
            <v>Bioinformatician TBR</v>
          </cell>
          <cell r="CQ43">
            <v>999</v>
          </cell>
          <cell r="CR43" t="str">
            <v>Biomica RD</v>
          </cell>
          <cell r="CS43" t="str">
            <v>Bioinformatician</v>
          </cell>
          <cell r="CT43" t="str">
            <v>Bioinformatician</v>
          </cell>
          <cell r="CU43" t="str">
            <v>TBR</v>
          </cell>
          <cell r="CX43">
            <v>9926.4705882352937</v>
          </cell>
          <cell r="CY43">
            <v>9926.4705882352937</v>
          </cell>
          <cell r="CZ43">
            <v>9926.4705882352937</v>
          </cell>
          <cell r="DA43">
            <v>9926.4705882352937</v>
          </cell>
          <cell r="DB43">
            <v>9926.4705882352937</v>
          </cell>
          <cell r="DC43">
            <v>9926.4705882352937</v>
          </cell>
          <cell r="DD43">
            <v>9926.4705882352937</v>
          </cell>
          <cell r="DE43">
            <v>9926.4705882352937</v>
          </cell>
          <cell r="DF43">
            <v>9926.4705882352937</v>
          </cell>
          <cell r="DG43">
            <v>9926.4705882352937</v>
          </cell>
          <cell r="DH43">
            <v>99264.705882352951</v>
          </cell>
        </row>
        <row r="44">
          <cell r="B44">
            <v>108</v>
          </cell>
          <cell r="C44" t="str">
            <v>Lavie Bio Micro. Lab</v>
          </cell>
          <cell r="BN44" t="str">
            <v>T914 - Marcom</v>
          </cell>
          <cell r="BW44">
            <v>14000</v>
          </cell>
          <cell r="CP44" t="str">
            <v>Researcher 2 TBR</v>
          </cell>
          <cell r="CQ44">
            <v>999</v>
          </cell>
          <cell r="CR44" t="str">
            <v>Biomica RD</v>
          </cell>
          <cell r="CS44" t="str">
            <v>Researcher</v>
          </cell>
          <cell r="CT44" t="str">
            <v>Researcher 2</v>
          </cell>
          <cell r="CU44" t="str">
            <v>TBR</v>
          </cell>
          <cell r="DB44">
            <v>7147.0588235294117</v>
          </cell>
          <cell r="DC44">
            <v>7147.0588235294117</v>
          </cell>
          <cell r="DD44">
            <v>7147.0588235294117</v>
          </cell>
          <cell r="DE44">
            <v>7147.0588235294117</v>
          </cell>
          <cell r="DF44">
            <v>7147.0588235294117</v>
          </cell>
          <cell r="DG44">
            <v>7147.0588235294117</v>
          </cell>
          <cell r="DH44">
            <v>42882.352941176468</v>
          </cell>
        </row>
        <row r="45">
          <cell r="B45">
            <v>103</v>
          </cell>
          <cell r="C45" t="str">
            <v>Lavie Bio PM</v>
          </cell>
          <cell r="BN45" t="str">
            <v>T913 - Legal</v>
          </cell>
          <cell r="BP45" t="str">
            <v>B90/62.P997.604.XXX-T913</v>
          </cell>
          <cell r="BQ45" t="str">
            <v>Fixed - Specific</v>
          </cell>
          <cell r="BR45" t="str">
            <v>604</v>
          </cell>
          <cell r="BS45" t="str">
            <v>B90</v>
          </cell>
          <cell r="BT45" t="str">
            <v>Corporate</v>
          </cell>
          <cell r="BU45" t="str">
            <v>Evogene service</v>
          </cell>
          <cell r="BV45" t="str">
            <v>Period</v>
          </cell>
          <cell r="CP45" t="str">
            <v>RA &amp; QA Manager TBR</v>
          </cell>
          <cell r="CQ45">
            <v>999</v>
          </cell>
          <cell r="CR45" t="str">
            <v>Biomica RD</v>
          </cell>
          <cell r="CS45" t="str">
            <v>RA &amp; QA Manager</v>
          </cell>
          <cell r="CT45" t="str">
            <v>RA &amp; QA Manager</v>
          </cell>
          <cell r="CU45" t="str">
            <v>TBR</v>
          </cell>
          <cell r="DE45">
            <v>8735.2941176470595</v>
          </cell>
          <cell r="DF45">
            <v>8735.2941176470595</v>
          </cell>
          <cell r="DG45">
            <v>8735.2941176470595</v>
          </cell>
          <cell r="DH45">
            <v>26205.882352941178</v>
          </cell>
        </row>
        <row r="46">
          <cell r="B46">
            <v>109</v>
          </cell>
          <cell r="C46" t="str">
            <v xml:space="preserve">Lavie Bio Phyto. Lab </v>
          </cell>
          <cell r="BN46" t="str">
            <v>T999 - Margin Corporate</v>
          </cell>
          <cell r="BO46" t="str">
            <v>Margin Corporate Fixed cost</v>
          </cell>
          <cell r="BP46" t="str">
            <v>B90/62.P997.607.XXX-T999</v>
          </cell>
          <cell r="BQ46" t="str">
            <v>Fixed - Specific</v>
          </cell>
          <cell r="BR46" t="str">
            <v>607</v>
          </cell>
          <cell r="BS46" t="str">
            <v>B90</v>
          </cell>
          <cell r="BT46" t="str">
            <v>Corporate</v>
          </cell>
          <cell r="BU46" t="str">
            <v>Evogene service</v>
          </cell>
          <cell r="BV46" t="str">
            <v>Period</v>
          </cell>
          <cell r="BW46">
            <v>0</v>
          </cell>
          <cell r="CP46" t="str">
            <v>VP BizDev TBR</v>
          </cell>
          <cell r="CQ46">
            <v>999</v>
          </cell>
          <cell r="CR46" t="str">
            <v>Biomica RD</v>
          </cell>
          <cell r="CS46" t="str">
            <v>VP BizDev</v>
          </cell>
          <cell r="CT46" t="str">
            <v>VP BizDev</v>
          </cell>
          <cell r="CU46" t="str">
            <v>TBR</v>
          </cell>
          <cell r="DE46">
            <v>13102.941176470589</v>
          </cell>
          <cell r="DF46">
            <v>13102.941176470589</v>
          </cell>
          <cell r="DG46">
            <v>13102.941176470589</v>
          </cell>
          <cell r="DH46">
            <v>39308.823529411769</v>
          </cell>
        </row>
        <row r="47">
          <cell r="B47">
            <v>107</v>
          </cell>
          <cell r="C47" t="str">
            <v>Lavie Bio RD MNG</v>
          </cell>
          <cell r="BN47" t="str">
            <v>E998 - Revenue+Grant</v>
          </cell>
          <cell r="BT47" t="str">
            <v>Revenue+Grant</v>
          </cell>
          <cell r="BU47" t="str">
            <v>External</v>
          </cell>
          <cell r="BW47">
            <v>0</v>
          </cell>
          <cell r="DH47">
            <v>2180601.0277634468</v>
          </cell>
        </row>
        <row r="48">
          <cell r="B48">
            <v>104</v>
          </cell>
          <cell r="C48" t="str">
            <v>Lavie Bio Research .LTD</v>
          </cell>
        </row>
        <row r="49">
          <cell r="B49">
            <v>106</v>
          </cell>
          <cell r="C49" t="str">
            <v>Lavie Bio Systems</v>
          </cell>
        </row>
        <row r="50">
          <cell r="B50">
            <v>604</v>
          </cell>
          <cell r="C50" t="str">
            <v>Legal</v>
          </cell>
        </row>
        <row r="51">
          <cell r="B51">
            <v>413</v>
          </cell>
          <cell r="C51" t="str">
            <v>Molecular Lab</v>
          </cell>
        </row>
        <row r="52">
          <cell r="B52">
            <v>425</v>
          </cell>
          <cell r="C52" t="str">
            <v>Operations</v>
          </cell>
        </row>
        <row r="53">
          <cell r="B53">
            <v>412</v>
          </cell>
          <cell r="C53" t="str">
            <v>PLM</v>
          </cell>
        </row>
        <row r="54">
          <cell r="B54">
            <v>415</v>
          </cell>
          <cell r="C54" t="str">
            <v>Phytopathology Lab</v>
          </cell>
        </row>
        <row r="55">
          <cell r="B55">
            <v>418</v>
          </cell>
          <cell r="C55" t="str">
            <v>Plant Growth</v>
          </cell>
        </row>
        <row r="56">
          <cell r="B56">
            <v>427</v>
          </cell>
          <cell r="C56" t="str">
            <v>Product Management</v>
          </cell>
        </row>
        <row r="57">
          <cell r="B57">
            <v>426</v>
          </cell>
          <cell r="C57" t="str">
            <v>Project Management</v>
          </cell>
        </row>
        <row r="58">
          <cell r="B58">
            <v>608</v>
          </cell>
          <cell r="C58" t="str">
            <v>Purchasing</v>
          </cell>
        </row>
        <row r="59">
          <cell r="B59">
            <v>419</v>
          </cell>
          <cell r="C59" t="str">
            <v>QA</v>
          </cell>
        </row>
        <row r="60">
          <cell r="B60">
            <v>428</v>
          </cell>
          <cell r="C60" t="str">
            <v>Seed Bank</v>
          </cell>
        </row>
        <row r="61">
          <cell r="B61">
            <v>406</v>
          </cell>
          <cell r="C61" t="str">
            <v>Software Development</v>
          </cell>
        </row>
        <row r="62">
          <cell r="B62">
            <v>416</v>
          </cell>
          <cell r="C62" t="str">
            <v>Tissue Culture</v>
          </cell>
        </row>
        <row r="63">
          <cell r="B63">
            <v>111</v>
          </cell>
          <cell r="C63" t="str">
            <v>Lavie Bio COO .LTD</v>
          </cell>
        </row>
        <row r="64">
          <cell r="B64">
            <v>124</v>
          </cell>
          <cell r="C64" t="str">
            <v>Lavie Bio COO .INC</v>
          </cell>
        </row>
        <row r="65">
          <cell r="B65">
            <v>125</v>
          </cell>
          <cell r="C65" t="str">
            <v>Lavie Bio US site</v>
          </cell>
        </row>
        <row r="66">
          <cell r="B66">
            <v>126</v>
          </cell>
          <cell r="C66" t="str">
            <v>Lavie Bio Commercial .LTD</v>
          </cell>
        </row>
        <row r="67">
          <cell r="B67">
            <v>127</v>
          </cell>
          <cell r="C67" t="str">
            <v>Lavie Bio Commercial .INC</v>
          </cell>
        </row>
        <row r="68">
          <cell r="B68">
            <v>128</v>
          </cell>
          <cell r="C68" t="str">
            <v>Lavie Bio Development .INC</v>
          </cell>
        </row>
        <row r="69">
          <cell r="B69">
            <v>129</v>
          </cell>
          <cell r="C69" t="str">
            <v>Lavie Bio Research .INC</v>
          </cell>
        </row>
        <row r="70">
          <cell r="B70">
            <v>130</v>
          </cell>
          <cell r="C70" t="str">
            <v>Lavie Bio Field Dev.LTD</v>
          </cell>
        </row>
        <row r="71">
          <cell r="B71">
            <v>131</v>
          </cell>
          <cell r="C71" t="str">
            <v>Lavie Bio Field Dev. .INC</v>
          </cell>
        </row>
        <row r="72">
          <cell r="B72">
            <v>132</v>
          </cell>
          <cell r="C72" t="str">
            <v>Lavie Bio Micro. Lab .LTD</v>
          </cell>
        </row>
        <row r="73">
          <cell r="B73">
            <v>133</v>
          </cell>
          <cell r="C73" t="str">
            <v>Lavie Bio Micro. Lab .INC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UL2"/>
    </sheetNames>
    <sheetDataSet>
      <sheetData sheetId="0" refreshError="1">
        <row r="5">
          <cell r="A5" t="str">
            <v>Bausch &amp; Lomb/Storz</v>
          </cell>
        </row>
        <row r="289">
          <cell r="A289">
            <v>1</v>
          </cell>
          <cell r="E289">
            <v>0.95810385310185431</v>
          </cell>
        </row>
        <row r="290">
          <cell r="A290">
            <v>2</v>
          </cell>
          <cell r="E290">
            <v>0.90937239143412696</v>
          </cell>
        </row>
        <row r="291">
          <cell r="A291">
            <v>3</v>
          </cell>
          <cell r="E291">
            <v>0.88386074925751956</v>
          </cell>
        </row>
        <row r="292">
          <cell r="A292">
            <v>4</v>
          </cell>
          <cell r="E292">
            <v>0.84812286312058116</v>
          </cell>
        </row>
        <row r="293">
          <cell r="A293">
            <v>5</v>
          </cell>
          <cell r="E293">
            <v>0.81577437629930594</v>
          </cell>
        </row>
        <row r="294">
          <cell r="A294">
            <v>6</v>
          </cell>
          <cell r="E294">
            <v>0.78697008846180527</v>
          </cell>
        </row>
        <row r="295">
          <cell r="A295">
            <v>7</v>
          </cell>
          <cell r="E295">
            <v>0.76096963434112808</v>
          </cell>
        </row>
        <row r="296">
          <cell r="A296">
            <v>8</v>
          </cell>
          <cell r="E296">
            <v>0.73669668750652373</v>
          </cell>
        </row>
        <row r="297">
          <cell r="A297">
            <v>9</v>
          </cell>
          <cell r="E297">
            <v>0.71363774572221539</v>
          </cell>
        </row>
        <row r="298">
          <cell r="A298">
            <v>10</v>
          </cell>
          <cell r="E298">
            <v>0.69166250345590607</v>
          </cell>
        </row>
        <row r="299">
          <cell r="A299">
            <v>11</v>
          </cell>
          <cell r="E299">
            <v>0.67074200525613237</v>
          </cell>
        </row>
        <row r="300">
          <cell r="A300">
            <v>12</v>
          </cell>
          <cell r="E300">
            <v>0.65061974509844855</v>
          </cell>
        </row>
        <row r="301">
          <cell r="A301">
            <v>13</v>
          </cell>
          <cell r="E301">
            <v>0.63110115274549494</v>
          </cell>
        </row>
        <row r="302">
          <cell r="A302">
            <v>14</v>
          </cell>
          <cell r="E302">
            <v>0.61216811816312999</v>
          </cell>
        </row>
        <row r="303">
          <cell r="A303">
            <v>15</v>
          </cell>
          <cell r="E303">
            <v>0.59380307461823623</v>
          </cell>
        </row>
        <row r="304">
          <cell r="A304">
            <v>16</v>
          </cell>
          <cell r="E304">
            <v>0.57598898237968921</v>
          </cell>
        </row>
        <row r="305">
          <cell r="A305">
            <v>17</v>
          </cell>
          <cell r="E305">
            <v>0.55870931290829851</v>
          </cell>
        </row>
        <row r="306">
          <cell r="A306">
            <v>18</v>
          </cell>
          <cell r="E306">
            <v>0.54194803352104948</v>
          </cell>
        </row>
        <row r="307">
          <cell r="A307">
            <v>19</v>
          </cell>
          <cell r="E307">
            <v>0.52568959251541814</v>
          </cell>
        </row>
        <row r="308">
          <cell r="A308">
            <v>20</v>
          </cell>
          <cell r="E308">
            <v>0.50991890473995549</v>
          </cell>
        </row>
        <row r="309">
          <cell r="A309">
            <v>21</v>
          </cell>
          <cell r="E309">
            <v>0.49462133759775673</v>
          </cell>
        </row>
        <row r="310">
          <cell r="A310">
            <v>22</v>
          </cell>
          <cell r="E310">
            <v>0.47978269746982394</v>
          </cell>
        </row>
        <row r="311">
          <cell r="A311">
            <v>23</v>
          </cell>
          <cell r="E311">
            <v>0.46538921654572923</v>
          </cell>
        </row>
        <row r="312">
          <cell r="A312">
            <v>24</v>
          </cell>
          <cell r="E312">
            <v>0.45142754004935737</v>
          </cell>
        </row>
        <row r="313">
          <cell r="A313">
            <v>25</v>
          </cell>
          <cell r="E313">
            <v>0.43788471384787664</v>
          </cell>
        </row>
        <row r="314">
          <cell r="A314">
            <v>26</v>
          </cell>
          <cell r="E314">
            <v>0.42474817243244034</v>
          </cell>
        </row>
        <row r="315">
          <cell r="A315">
            <v>27</v>
          </cell>
          <cell r="E315">
            <v>0.4120057272594671</v>
          </cell>
        </row>
        <row r="316">
          <cell r="A316">
            <v>28</v>
          </cell>
          <cell r="E316">
            <v>0.39964555544168312</v>
          </cell>
        </row>
        <row r="317">
          <cell r="A317">
            <v>29</v>
          </cell>
          <cell r="E317">
            <v>0.38765618877843261</v>
          </cell>
        </row>
        <row r="318">
          <cell r="A318">
            <v>30</v>
          </cell>
          <cell r="E318">
            <v>0.37602650311507962</v>
          </cell>
        </row>
        <row r="319">
          <cell r="A319">
            <v>31</v>
          </cell>
          <cell r="E319">
            <v>0.3647457080216272</v>
          </cell>
        </row>
        <row r="320">
          <cell r="A320">
            <v>32</v>
          </cell>
          <cell r="E320">
            <v>0.35380333678097842</v>
          </cell>
        </row>
        <row r="321">
          <cell r="A321">
            <v>33</v>
          </cell>
          <cell r="E321">
            <v>0.34318923667754908</v>
          </cell>
        </row>
        <row r="322">
          <cell r="A322">
            <v>34</v>
          </cell>
          <cell r="E322">
            <v>0.33289355957722255</v>
          </cell>
        </row>
        <row r="323">
          <cell r="A323">
            <v>35</v>
          </cell>
          <cell r="E323">
            <v>0.32290675278990588</v>
          </cell>
        </row>
        <row r="324">
          <cell r="A324">
            <v>36</v>
          </cell>
          <cell r="E324">
            <v>0.31321955020620867</v>
          </cell>
        </row>
        <row r="325">
          <cell r="A325">
            <v>37</v>
          </cell>
          <cell r="E325">
            <v>0.30382296370002237</v>
          </cell>
        </row>
        <row r="326">
          <cell r="A326">
            <v>38</v>
          </cell>
          <cell r="E326">
            <v>0.29470827478902173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3 P&amp;L "/>
      <sheetName val="Budget per projects "/>
      <sheetName val="Pivot "/>
      <sheetName val="Pivot 1"/>
      <sheetName val="Pivot 2"/>
      <sheetName val="Pivot 2 (2)"/>
      <sheetName val="Parameters"/>
      <sheetName val="Revenues &amp; COGS"/>
      <sheetName val="R&amp;D"/>
      <sheetName val="Sheet1"/>
      <sheetName val="BD"/>
      <sheetName val="G&amp;A "/>
      <sheetName val="Headcount"/>
      <sheetName val="Budget 2023 - querterly view"/>
      <sheetName val="ניצול_תקציב_מפורט "/>
      <sheetName val="By projects"/>
      <sheetName val="Pivot 3"/>
      <sheetName val="checks "/>
      <sheetName val="Task units pivot"/>
      <sheetName val="SOW"/>
      <sheetName val="Lavie bio INC."/>
      <sheetName val="open items"/>
      <sheetName val="P&amp;L"/>
      <sheetName val="employees per projects"/>
      <sheetName val="TBR - aggresive ver - USA"/>
      <sheetName val="Commercial Budget"/>
      <sheetName val="Lavie Bio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B1" t="str">
            <v>DepartmentNo.</v>
          </cell>
          <cell r="C1" t="str">
            <v>Department Name</v>
          </cell>
          <cell r="P1" t="str">
            <v>ProjectName</v>
          </cell>
          <cell r="Q1" t="str">
            <v>ProjectFull</v>
          </cell>
          <cell r="R1" t="str">
            <v>Default Division</v>
          </cell>
          <cell r="S1" t="str">
            <v>ProjectNum</v>
          </cell>
          <cell r="U1" t="str">
            <v>Prefix</v>
          </cell>
          <cell r="V1" t="str">
            <v>Division</v>
          </cell>
          <cell r="BN1" t="str">
            <v>Ending</v>
          </cell>
          <cell r="BO1" t="str">
            <v>Task Description</v>
          </cell>
          <cell r="BP1" t="str">
            <v>Credit Budget</v>
          </cell>
          <cell r="BQ1" t="str">
            <v>Unit Description</v>
          </cell>
          <cell r="BR1" t="str">
            <v>Cost Department</v>
          </cell>
          <cell r="BS1" t="str">
            <v>Defalut Credit Prefix</v>
          </cell>
          <cell r="BT1" t="str">
            <v>Ending Type</v>
          </cell>
          <cell r="BU1" t="str">
            <v>Ending Group</v>
          </cell>
          <cell r="BV1" t="str">
            <v>Recognition Type</v>
          </cell>
          <cell r="BW1" t="str">
            <v>Cost Per unit</v>
          </cell>
          <cell r="CG1" t="str">
            <v>FinReport</v>
          </cell>
          <cell r="CH1" t="str">
            <v>Code</v>
          </cell>
        </row>
        <row r="2">
          <cell r="B2">
            <v>304</v>
          </cell>
          <cell r="C2" t="str">
            <v>Ag-Seed</v>
          </cell>
          <cell r="P2" t="str">
            <v>agPlenus Tech</v>
          </cell>
          <cell r="Q2" t="str">
            <v>P21 - agPlenus Tech</v>
          </cell>
          <cell r="R2" t="str">
            <v>AgPlenus</v>
          </cell>
          <cell r="S2" t="str">
            <v>P21</v>
          </cell>
          <cell r="U2" t="str">
            <v>B10</v>
          </cell>
          <cell r="V2" t="str">
            <v>AgPlenus</v>
          </cell>
          <cell r="AH2">
            <v>3.4</v>
          </cell>
          <cell r="AI2">
            <v>3.4</v>
          </cell>
          <cell r="AJ2">
            <v>3.4</v>
          </cell>
          <cell r="AK2">
            <v>3.4</v>
          </cell>
          <cell r="AL2">
            <v>3.4</v>
          </cell>
          <cell r="AM2">
            <v>3.4</v>
          </cell>
          <cell r="AN2">
            <v>3.4</v>
          </cell>
          <cell r="AO2">
            <v>3.4</v>
          </cell>
          <cell r="AP2">
            <v>3.4</v>
          </cell>
          <cell r="AQ2">
            <v>3.4</v>
          </cell>
          <cell r="AR2">
            <v>3.4</v>
          </cell>
          <cell r="AS2">
            <v>3.4</v>
          </cell>
          <cell r="BN2" t="str">
            <v>E000 - Salary</v>
          </cell>
          <cell r="BT2" t="str">
            <v>Salary</v>
          </cell>
          <cell r="BU2" t="str">
            <v>Salary</v>
          </cell>
          <cell r="BW2">
            <v>0</v>
          </cell>
          <cell r="CG2" t="str">
            <v>Revenues</v>
          </cell>
          <cell r="CH2" t="str">
            <v>00</v>
          </cell>
          <cell r="CQ2" t="str">
            <v>Department number</v>
          </cell>
          <cell r="CR2" t="str">
            <v>Department</v>
          </cell>
          <cell r="CS2" t="str">
            <v>הגדרת תפקיד</v>
          </cell>
          <cell r="CT2" t="str">
            <v xml:space="preserve">שם פרטי </v>
          </cell>
          <cell r="CU2" t="str">
            <v xml:space="preserve">שם משפחה </v>
          </cell>
          <cell r="CV2" t="str">
            <v>ינואר</v>
          </cell>
          <cell r="CW2" t="str">
            <v>פברואר</v>
          </cell>
          <cell r="CX2" t="str">
            <v>מרץ</v>
          </cell>
          <cell r="CY2" t="str">
            <v>אפריל</v>
          </cell>
          <cell r="CZ2" t="str">
            <v>מאי</v>
          </cell>
          <cell r="DA2" t="str">
            <v>יוני</v>
          </cell>
          <cell r="DB2" t="str">
            <v>יולי</v>
          </cell>
          <cell r="DC2" t="str">
            <v>אוגוסט</v>
          </cell>
          <cell r="DD2" t="str">
            <v>ספטמבר</v>
          </cell>
          <cell r="DE2" t="str">
            <v>אוקטובר</v>
          </cell>
          <cell r="DF2" t="str">
            <v>נובמבר</v>
          </cell>
          <cell r="DG2" t="str">
            <v>דצמבר</v>
          </cell>
          <cell r="DH2" t="str">
            <v>סה"כ שנתי  - NIS</v>
          </cell>
        </row>
        <row r="3">
          <cell r="B3">
            <v>302</v>
          </cell>
          <cell r="C3" t="str">
            <v>Ag-Seed BD</v>
          </cell>
          <cell r="P3" t="str">
            <v>Herbicides Corteva</v>
          </cell>
          <cell r="Q3" t="str">
            <v>P210 - Herbicides Corteva</v>
          </cell>
          <cell r="R3" t="str">
            <v>AgPlenus</v>
          </cell>
          <cell r="S3" t="str">
            <v>P210</v>
          </cell>
          <cell r="U3" t="str">
            <v>B20</v>
          </cell>
          <cell r="V3" t="str">
            <v>Lavie Bio</v>
          </cell>
          <cell r="BN3" t="str">
            <v xml:space="preserve">E301 - Capped Patent </v>
          </cell>
          <cell r="BT3" t="str">
            <v>External</v>
          </cell>
          <cell r="BU3" t="str">
            <v>External</v>
          </cell>
          <cell r="BW3">
            <v>0</v>
          </cell>
          <cell r="CG3" t="str">
            <v>COGS</v>
          </cell>
          <cell r="CH3" t="str">
            <v>10</v>
          </cell>
          <cell r="CQ3">
            <v>101</v>
          </cell>
          <cell r="CR3" t="str">
            <v xml:space="preserve"> Lavie Bio Exec. MGMT</v>
          </cell>
          <cell r="CS3" t="str">
            <v>CEO</v>
          </cell>
          <cell r="CT3" t="str">
            <v xml:space="preserve">גורי </v>
          </cell>
          <cell r="CU3" t="str">
            <v>אורון</v>
          </cell>
          <cell r="CV3">
            <v>82090.644110829089</v>
          </cell>
          <cell r="CW3">
            <v>82090.644110829089</v>
          </cell>
          <cell r="CX3">
            <v>82090.644110829089</v>
          </cell>
          <cell r="CY3">
            <v>192090.6441108291</v>
          </cell>
          <cell r="CZ3">
            <v>82090.644110829089</v>
          </cell>
          <cell r="DA3">
            <v>82090.644110829089</v>
          </cell>
          <cell r="DB3">
            <v>82090.644110829089</v>
          </cell>
          <cell r="DC3">
            <v>82090.644110829089</v>
          </cell>
          <cell r="DD3">
            <v>82090.644110829089</v>
          </cell>
          <cell r="DE3">
            <v>82090.644110829089</v>
          </cell>
          <cell r="DF3">
            <v>82090.644110829089</v>
          </cell>
          <cell r="DG3">
            <v>82090.644110829089</v>
          </cell>
          <cell r="DH3">
            <v>1095087.729329949</v>
          </cell>
        </row>
        <row r="4">
          <cell r="B4">
            <v>301</v>
          </cell>
          <cell r="C4" t="str">
            <v>Ag-Seed Exec. MGMT</v>
          </cell>
          <cell r="P4" t="str">
            <v>Herbicides APTH1</v>
          </cell>
          <cell r="Q4" t="str">
            <v>P211 - Herbicides APTH1</v>
          </cell>
          <cell r="R4" t="str">
            <v>AgPlenus</v>
          </cell>
          <cell r="S4" t="str">
            <v>P211</v>
          </cell>
          <cell r="U4" t="str">
            <v>B30</v>
          </cell>
          <cell r="V4" t="str">
            <v>Ag-Seed</v>
          </cell>
          <cell r="BN4" t="str">
            <v>E302 - Non Capped Patent</v>
          </cell>
          <cell r="BT4" t="str">
            <v>External</v>
          </cell>
          <cell r="BU4" t="str">
            <v>External</v>
          </cell>
          <cell r="BW4">
            <v>0</v>
          </cell>
          <cell r="CG4" t="str">
            <v>RD</v>
          </cell>
          <cell r="CH4" t="str">
            <v>20</v>
          </cell>
          <cell r="CQ4">
            <v>104</v>
          </cell>
          <cell r="CR4" t="str">
            <v>Lavie Bio Research .LTD</v>
          </cell>
          <cell r="CS4" t="str">
            <v>Research leader - bio-insect &amp; stim</v>
          </cell>
          <cell r="CT4" t="str">
            <v>מיכל</v>
          </cell>
          <cell r="CU4" t="str">
            <v>שורש</v>
          </cell>
          <cell r="CV4">
            <v>36158.234485417634</v>
          </cell>
          <cell r="CW4">
            <v>36158.234485417634</v>
          </cell>
          <cell r="CX4">
            <v>36158.234485417634</v>
          </cell>
          <cell r="CY4">
            <v>63058.234485417634</v>
          </cell>
          <cell r="CZ4">
            <v>36158.234485417634</v>
          </cell>
          <cell r="DA4">
            <v>36158.234485417634</v>
          </cell>
          <cell r="DB4">
            <v>36158.234485417634</v>
          </cell>
          <cell r="DC4">
            <v>36158.234485417634</v>
          </cell>
          <cell r="DD4">
            <v>36158.234485417634</v>
          </cell>
          <cell r="DE4">
            <v>36158.234485417634</v>
          </cell>
          <cell r="DF4">
            <v>36158.234485417634</v>
          </cell>
          <cell r="DG4">
            <v>36158.234485417634</v>
          </cell>
          <cell r="DH4">
            <v>460798.81382501149</v>
          </cell>
        </row>
        <row r="5">
          <cell r="B5">
            <v>303</v>
          </cell>
          <cell r="C5" t="str">
            <v>Ag-Seed PM</v>
          </cell>
          <cell r="P5" t="str">
            <v>Herbicides</v>
          </cell>
          <cell r="Q5" t="str">
            <v>P23 - Herbicides</v>
          </cell>
          <cell r="R5" t="str">
            <v>AgPlenus</v>
          </cell>
          <cell r="S5" t="str">
            <v>P23</v>
          </cell>
          <cell r="U5" t="str">
            <v>B31</v>
          </cell>
          <cell r="V5" t="str">
            <v>Insect-Control</v>
          </cell>
          <cell r="BN5" t="str">
            <v>E999 - External</v>
          </cell>
          <cell r="BT5" t="str">
            <v>External</v>
          </cell>
          <cell r="BU5" t="str">
            <v>External</v>
          </cell>
          <cell r="BW5">
            <v>0</v>
          </cell>
          <cell r="CG5" t="str">
            <v>SM</v>
          </cell>
          <cell r="CH5">
            <v>30</v>
          </cell>
          <cell r="CQ5">
            <v>104</v>
          </cell>
          <cell r="CR5" t="str">
            <v>Lavie Bio Research .LTD</v>
          </cell>
          <cell r="CS5" t="str">
            <v>Research leader – Bio-Fungi</v>
          </cell>
          <cell r="CT5" t="str">
            <v>שלמה</v>
          </cell>
          <cell r="CU5" t="str">
            <v>גורן</v>
          </cell>
          <cell r="CV5">
            <v>25650</v>
          </cell>
          <cell r="CW5">
            <v>25650</v>
          </cell>
          <cell r="CX5">
            <v>25650</v>
          </cell>
          <cell r="CY5">
            <v>25650</v>
          </cell>
          <cell r="CZ5">
            <v>25650</v>
          </cell>
          <cell r="DA5">
            <v>25650</v>
          </cell>
          <cell r="DB5">
            <v>25650</v>
          </cell>
          <cell r="DC5">
            <v>25650</v>
          </cell>
          <cell r="DD5">
            <v>25650</v>
          </cell>
          <cell r="DE5">
            <v>25650</v>
          </cell>
          <cell r="DF5">
            <v>25650</v>
          </cell>
          <cell r="DG5">
            <v>25650</v>
          </cell>
          <cell r="DH5">
            <v>307800</v>
          </cell>
        </row>
        <row r="6">
          <cell r="B6">
            <v>202</v>
          </cell>
          <cell r="C6" t="str">
            <v>AgPlenus BD</v>
          </cell>
          <cell r="P6" t="str">
            <v>Fungicides</v>
          </cell>
          <cell r="Q6" t="str">
            <v>P24 - Fungicides</v>
          </cell>
          <cell r="R6" t="str">
            <v>AgPlenus</v>
          </cell>
          <cell r="S6" t="str">
            <v>P24</v>
          </cell>
          <cell r="U6" t="str">
            <v>B32</v>
          </cell>
          <cell r="V6" t="str">
            <v>IP-Legacy</v>
          </cell>
          <cell r="BN6" t="str">
            <v>T101 - Agronomist</v>
          </cell>
          <cell r="BO6" t="str">
            <v>Agronomist FTE annual cost</v>
          </cell>
          <cell r="BP6" t="str">
            <v>B40/22.P997.418.XXX-T101</v>
          </cell>
          <cell r="BQ6" t="str">
            <v>Per annual FTE</v>
          </cell>
          <cell r="BR6" t="str">
            <v>418</v>
          </cell>
          <cell r="BS6" t="str">
            <v>B40</v>
          </cell>
          <cell r="BT6" t="str">
            <v>CPB</v>
          </cell>
          <cell r="BU6" t="str">
            <v>Evogene service</v>
          </cell>
          <cell r="BV6" t="str">
            <v>Period</v>
          </cell>
          <cell r="BW6">
            <v>646.45343382798376</v>
          </cell>
          <cell r="CG6" t="str">
            <v>BD</v>
          </cell>
          <cell r="CH6" t="str">
            <v>50</v>
          </cell>
          <cell r="CQ6">
            <v>101</v>
          </cell>
          <cell r="CR6" t="str">
            <v xml:space="preserve"> Lavie Bio Exec. MGMT</v>
          </cell>
          <cell r="CS6" t="str">
            <v>VP Research</v>
          </cell>
          <cell r="CT6" t="str">
            <v>מיכאל</v>
          </cell>
          <cell r="CU6" t="str">
            <v>יונסקו</v>
          </cell>
          <cell r="CV6">
            <v>51331.43088433471</v>
          </cell>
          <cell r="CW6">
            <v>51331.43088433471</v>
          </cell>
          <cell r="CX6">
            <v>51331.43088433471</v>
          </cell>
          <cell r="CY6">
            <v>90067.43088433471</v>
          </cell>
          <cell r="CZ6">
            <v>51331.43088433471</v>
          </cell>
          <cell r="DA6">
            <v>51331.43088433471</v>
          </cell>
          <cell r="DB6">
            <v>51331.43088433471</v>
          </cell>
          <cell r="DC6">
            <v>51331.43088433471</v>
          </cell>
          <cell r="DD6">
            <v>51331.43088433471</v>
          </cell>
          <cell r="DE6">
            <v>51331.43088433471</v>
          </cell>
          <cell r="DF6">
            <v>51331.43088433471</v>
          </cell>
          <cell r="DG6">
            <v>51331.43088433471</v>
          </cell>
          <cell r="DH6">
            <v>654713.17061201658</v>
          </cell>
        </row>
        <row r="7">
          <cell r="B7">
            <v>201</v>
          </cell>
          <cell r="C7" t="str">
            <v>AgPlenus Exec. MGMT</v>
          </cell>
          <cell r="P7" t="str">
            <v>TcdAB</v>
          </cell>
          <cell r="Q7" t="str">
            <v>P250 - TcdAB</v>
          </cell>
          <cell r="R7" t="str">
            <v>Biomica</v>
          </cell>
          <cell r="S7" t="str">
            <v>P250</v>
          </cell>
          <cell r="U7" t="str">
            <v>B40</v>
          </cell>
          <cell r="V7" t="str">
            <v>CPB</v>
          </cell>
          <cell r="BN7" t="str">
            <v>T102 - Algorithm Developer</v>
          </cell>
          <cell r="BO7" t="str">
            <v>Algorithm Developer FTE annual cost</v>
          </cell>
          <cell r="BP7" t="str">
            <v>B40/22.P997.404.XXX-T102</v>
          </cell>
          <cell r="BQ7" t="str">
            <v>Per annual FTE</v>
          </cell>
          <cell r="BR7" t="str">
            <v>404</v>
          </cell>
          <cell r="BS7" t="str">
            <v>B40</v>
          </cell>
          <cell r="BT7" t="str">
            <v>CPB</v>
          </cell>
          <cell r="BU7" t="str">
            <v>Evogene service</v>
          </cell>
          <cell r="BV7" t="str">
            <v>Period</v>
          </cell>
          <cell r="BW7">
            <v>1026.5096207180043</v>
          </cell>
          <cell r="CG7" t="str">
            <v>GA</v>
          </cell>
          <cell r="CH7" t="str">
            <v>60</v>
          </cell>
          <cell r="CQ7">
            <v>101</v>
          </cell>
          <cell r="CR7" t="str">
            <v xml:space="preserve"> Lavie Bio Exec. MGMT</v>
          </cell>
          <cell r="CS7" t="str">
            <v>VP Development</v>
          </cell>
          <cell r="CT7" t="str">
            <v xml:space="preserve">אמיר </v>
          </cell>
          <cell r="CU7" t="str">
            <v>ברקוביץ</v>
          </cell>
          <cell r="CV7">
            <v>51919.799468779165</v>
          </cell>
          <cell r="CW7">
            <v>51919.799468779165</v>
          </cell>
          <cell r="CX7">
            <v>51919.799468779165</v>
          </cell>
          <cell r="CY7">
            <v>88246.635468779161</v>
          </cell>
          <cell r="CZ7">
            <v>51919.799468779165</v>
          </cell>
          <cell r="DA7">
            <v>51919.799468779165</v>
          </cell>
          <cell r="DB7">
            <v>51919.799468779165</v>
          </cell>
          <cell r="DC7">
            <v>51919.799468779165</v>
          </cell>
          <cell r="DD7">
            <v>51919.799468779165</v>
          </cell>
          <cell r="DE7">
            <v>51919.799468779165</v>
          </cell>
          <cell r="DF7">
            <v>51919.799468779165</v>
          </cell>
          <cell r="DG7">
            <v>51919.799468779165</v>
          </cell>
          <cell r="DH7">
            <v>659364.42962534993</v>
          </cell>
        </row>
        <row r="8">
          <cell r="B8">
            <v>203</v>
          </cell>
          <cell r="C8" t="str">
            <v>AgPlenus PM</v>
          </cell>
          <cell r="P8" t="str">
            <v>MRSA 50S</v>
          </cell>
          <cell r="Q8" t="str">
            <v>P251 - MRSA 50S</v>
          </cell>
          <cell r="R8" t="str">
            <v>Biomica</v>
          </cell>
          <cell r="S8" t="str">
            <v>P251</v>
          </cell>
          <cell r="U8" t="str">
            <v>B41</v>
          </cell>
          <cell r="V8" t="str">
            <v>Phenomics</v>
          </cell>
          <cell r="BN8" t="str">
            <v>T103 - Bioinformatician</v>
          </cell>
          <cell r="BO8" t="str">
            <v>Bioinformatician FTE annual cost</v>
          </cell>
          <cell r="BP8" t="str">
            <v>B40/22.P997.405.XXX-T103</v>
          </cell>
          <cell r="BQ8" t="str">
            <v>Per annual FTE</v>
          </cell>
          <cell r="BR8" t="str">
            <v>405</v>
          </cell>
          <cell r="BS8" t="str">
            <v>B40</v>
          </cell>
          <cell r="BT8" t="str">
            <v>CPB</v>
          </cell>
          <cell r="BU8" t="str">
            <v>Evogene service</v>
          </cell>
          <cell r="BV8" t="str">
            <v>Period</v>
          </cell>
          <cell r="BW8">
            <v>854.45565710605922</v>
          </cell>
          <cell r="CG8" t="str">
            <v>Financial Inc/Exp</v>
          </cell>
          <cell r="CH8" t="str">
            <v>70</v>
          </cell>
          <cell r="CQ8">
            <v>105</v>
          </cell>
          <cell r="CR8" t="str">
            <v>Lavie Bio Development .LTD</v>
          </cell>
          <cell r="CS8" t="str">
            <v>Head of fermentation</v>
          </cell>
          <cell r="CT8" t="str">
            <v>יוסי</v>
          </cell>
          <cell r="CU8" t="str">
            <v>סינגר</v>
          </cell>
          <cell r="CV8">
            <v>40150.63377966774</v>
          </cell>
          <cell r="CW8">
            <v>40150.63377966774</v>
          </cell>
          <cell r="CX8">
            <v>40150.63377966774</v>
          </cell>
          <cell r="CY8">
            <v>55214.63377966774</v>
          </cell>
          <cell r="CZ8">
            <v>40150.63377966774</v>
          </cell>
          <cell r="DA8">
            <v>40150.63377966774</v>
          </cell>
          <cell r="DB8">
            <v>40150.63377966774</v>
          </cell>
          <cell r="DC8">
            <v>40150.63377966774</v>
          </cell>
          <cell r="DD8">
            <v>40150.63377966774</v>
          </cell>
          <cell r="DE8">
            <v>40150.63377966774</v>
          </cell>
          <cell r="DF8">
            <v>40150.63377966774</v>
          </cell>
          <cell r="DG8">
            <v>40150.63377966774</v>
          </cell>
          <cell r="DH8">
            <v>496871.60535601276</v>
          </cell>
        </row>
        <row r="9">
          <cell r="B9">
            <v>205</v>
          </cell>
          <cell r="C9" t="str">
            <v>AgPlenus RD</v>
          </cell>
          <cell r="P9" t="str">
            <v>Cancer Immun adjuvant</v>
          </cell>
          <cell r="Q9" t="str">
            <v>P252 - Cancer Immun adjuvant</v>
          </cell>
          <cell r="R9" t="str">
            <v>Biomica</v>
          </cell>
          <cell r="S9" t="str">
            <v>P252</v>
          </cell>
          <cell r="U9" t="str">
            <v>B42</v>
          </cell>
          <cell r="V9" t="str">
            <v>CrisperIL</v>
          </cell>
          <cell r="BN9" t="str">
            <v>T104 - Data Gathering</v>
          </cell>
          <cell r="BO9" t="str">
            <v>Data Gathering FTE annual cost</v>
          </cell>
          <cell r="BP9" t="str">
            <v>B40/22.P997.411.XXX-T104</v>
          </cell>
          <cell r="BQ9" t="str">
            <v>Per annual FTE</v>
          </cell>
          <cell r="BR9" t="str">
            <v>411</v>
          </cell>
          <cell r="BS9" t="str">
            <v>B40</v>
          </cell>
          <cell r="BT9" t="str">
            <v>CPB</v>
          </cell>
          <cell r="BU9" t="str">
            <v>Evogene service</v>
          </cell>
          <cell r="BV9" t="str">
            <v>Period</v>
          </cell>
          <cell r="BW9">
            <v>538.97386395126284</v>
          </cell>
          <cell r="CG9" t="str">
            <v>Grants refundable</v>
          </cell>
          <cell r="CH9" t="str">
            <v>90</v>
          </cell>
          <cell r="CQ9">
            <v>104</v>
          </cell>
          <cell r="CR9" t="str">
            <v>Lavie Bio Research .LTD</v>
          </cell>
          <cell r="CS9" t="str">
            <v>Biosystem Development Leader</v>
          </cell>
          <cell r="CT9" t="str">
            <v xml:space="preserve">נועה </v>
          </cell>
          <cell r="CU9" t="str">
            <v>שמיר</v>
          </cell>
          <cell r="CV9">
            <v>21037.391177458852</v>
          </cell>
          <cell r="CW9">
            <v>21037.391177458852</v>
          </cell>
          <cell r="CX9">
            <v>21037.391177458852</v>
          </cell>
          <cell r="CY9">
            <v>28300.391177458852</v>
          </cell>
          <cell r="CZ9">
            <v>21037.391177458852</v>
          </cell>
          <cell r="DA9">
            <v>21037.391177458852</v>
          </cell>
          <cell r="DB9">
            <v>21037.391177458852</v>
          </cell>
          <cell r="DC9">
            <v>21037.391177458852</v>
          </cell>
          <cell r="DD9">
            <v>21037.391177458852</v>
          </cell>
          <cell r="DE9">
            <v>21037.391177458852</v>
          </cell>
          <cell r="DF9">
            <v>21037.391177458852</v>
          </cell>
          <cell r="DG9">
            <v>21037.391177458852</v>
          </cell>
          <cell r="DH9">
            <v>259711.6941295063</v>
          </cell>
        </row>
        <row r="10">
          <cell r="B10">
            <v>404</v>
          </cell>
          <cell r="C10" t="str">
            <v>Algorithm</v>
          </cell>
          <cell r="P10" t="str">
            <v>IBS</v>
          </cell>
          <cell r="Q10" t="str">
            <v>P254 - IBS</v>
          </cell>
          <cell r="R10" t="str">
            <v>Biomica</v>
          </cell>
          <cell r="S10" t="str">
            <v>P254</v>
          </cell>
          <cell r="U10" t="str">
            <v>B50</v>
          </cell>
          <cell r="V10" t="str">
            <v>CPBL</v>
          </cell>
          <cell r="BN10" t="str">
            <v>T105 - DevOps</v>
          </cell>
          <cell r="BO10" t="str">
            <v>DevOps FTE annual cost</v>
          </cell>
          <cell r="BP10" t="str">
            <v>B40/22.P997.420.XXX-T105</v>
          </cell>
          <cell r="BQ10" t="str">
            <v>Per annual FTE</v>
          </cell>
          <cell r="BR10" t="str">
            <v>420</v>
          </cell>
          <cell r="BS10" t="str">
            <v>B40</v>
          </cell>
          <cell r="BT10" t="str">
            <v>CPB</v>
          </cell>
          <cell r="BU10" t="str">
            <v>Evogene service</v>
          </cell>
          <cell r="BV10" t="str">
            <v>Period</v>
          </cell>
          <cell r="BW10">
            <v>1074.8754271426164</v>
          </cell>
          <cell r="CG10" t="str">
            <v>CAPEX</v>
          </cell>
          <cell r="CH10" t="str">
            <v>95</v>
          </cell>
          <cell r="CQ10">
            <v>132</v>
          </cell>
          <cell r="CR10" t="str">
            <v>Lavie Bio Micro. Lab .LTD</v>
          </cell>
          <cell r="CS10" t="str">
            <v>Microbial Lab Technician</v>
          </cell>
          <cell r="CT10" t="str">
            <v>לריסה</v>
          </cell>
          <cell r="CU10" t="str">
            <v>פטליס</v>
          </cell>
          <cell r="CV10">
            <v>17932.777341292105</v>
          </cell>
          <cell r="CW10">
            <v>17932.777341292105</v>
          </cell>
          <cell r="CX10">
            <v>17932.777341292105</v>
          </cell>
          <cell r="CY10">
            <v>24119.777341292105</v>
          </cell>
          <cell r="CZ10">
            <v>17932.777341292105</v>
          </cell>
          <cell r="DA10">
            <v>17932.777341292105</v>
          </cell>
          <cell r="DB10">
            <v>17932.777341292105</v>
          </cell>
          <cell r="DC10">
            <v>17932.777341292105</v>
          </cell>
          <cell r="DD10">
            <v>17932.777341292105</v>
          </cell>
          <cell r="DE10">
            <v>17932.777341292105</v>
          </cell>
          <cell r="DF10">
            <v>17932.777341292105</v>
          </cell>
          <cell r="DG10">
            <v>17932.777341292105</v>
          </cell>
          <cell r="DH10">
            <v>221380.32809550522</v>
          </cell>
        </row>
        <row r="11">
          <cell r="B11">
            <v>405</v>
          </cell>
          <cell r="C11" t="str">
            <v>Bioinformatics</v>
          </cell>
          <cell r="P11" t="str">
            <v>IBD</v>
          </cell>
          <cell r="Q11" t="str">
            <v>P255 - IBD</v>
          </cell>
          <cell r="R11" t="str">
            <v>Biomica</v>
          </cell>
          <cell r="S11" t="str">
            <v>P255</v>
          </cell>
          <cell r="U11" t="str">
            <v>B55</v>
          </cell>
          <cell r="V11" t="str">
            <v>CSO</v>
          </cell>
          <cell r="BN11" t="str">
            <v>T106 - Molecular Biologist</v>
          </cell>
          <cell r="BO11" t="str">
            <v>Molecular Biologist FTE annual cost</v>
          </cell>
          <cell r="BP11" t="str">
            <v>B40/22.P997.413.XXX-T106</v>
          </cell>
          <cell r="BQ11" t="str">
            <v>Per annual FTE</v>
          </cell>
          <cell r="BR11" t="str">
            <v>413</v>
          </cell>
          <cell r="BS11" t="str">
            <v>B40</v>
          </cell>
          <cell r="BT11" t="str">
            <v>CPB</v>
          </cell>
          <cell r="BU11" t="str">
            <v>Evogene service</v>
          </cell>
          <cell r="BV11" t="str">
            <v>Period</v>
          </cell>
          <cell r="BW11">
            <v>615.12719379966495</v>
          </cell>
          <cell r="CG11" t="str">
            <v>Cash Adjusments</v>
          </cell>
          <cell r="CH11" t="str">
            <v>96</v>
          </cell>
          <cell r="CQ11">
            <v>104</v>
          </cell>
          <cell r="CR11" t="str">
            <v>Lavie Bio Research .LTD</v>
          </cell>
          <cell r="CS11" t="str">
            <v>Computational lead</v>
          </cell>
          <cell r="CT11" t="str">
            <v>מריה</v>
          </cell>
          <cell r="CU11" t="str">
            <v>צ'סלב</v>
          </cell>
          <cell r="CV11">
            <v>30563.682573084141</v>
          </cell>
          <cell r="CW11">
            <v>30563.682573084141</v>
          </cell>
          <cell r="CX11">
            <v>30563.682573084141</v>
          </cell>
          <cell r="CY11">
            <v>41861.682573084137</v>
          </cell>
          <cell r="CZ11">
            <v>30563.682573084141</v>
          </cell>
          <cell r="DA11">
            <v>30563.682573084141</v>
          </cell>
          <cell r="DB11">
            <v>30563.682573084141</v>
          </cell>
          <cell r="DC11">
            <v>30563.682573084141</v>
          </cell>
          <cell r="DD11">
            <v>30563.682573084141</v>
          </cell>
          <cell r="DE11">
            <v>30563.682573084141</v>
          </cell>
          <cell r="DF11">
            <v>30563.682573084141</v>
          </cell>
          <cell r="DG11">
            <v>30563.682573084141</v>
          </cell>
          <cell r="DH11">
            <v>378062.19087700965</v>
          </cell>
        </row>
        <row r="12">
          <cell r="B12">
            <v>995</v>
          </cell>
          <cell r="C12" t="str">
            <v>Biomica BD</v>
          </cell>
          <cell r="P12" t="str">
            <v>Infrastructure</v>
          </cell>
          <cell r="Q12" t="str">
            <v>P257 - Infrastructure</v>
          </cell>
          <cell r="R12" t="str">
            <v>Biomica</v>
          </cell>
          <cell r="S12" t="str">
            <v>P257</v>
          </cell>
          <cell r="U12" t="str">
            <v>B70</v>
          </cell>
          <cell r="V12" t="str">
            <v>Biomica</v>
          </cell>
          <cell r="BN12" t="str">
            <v>T107 - Phytopatologist</v>
          </cell>
          <cell r="BO12" t="str">
            <v>Phytopatologist FTE annual cost</v>
          </cell>
          <cell r="BP12" t="str">
            <v>B40/22.P997.415.XXX-T107</v>
          </cell>
          <cell r="BQ12" t="str">
            <v>Per annual FTE</v>
          </cell>
          <cell r="BR12" t="str">
            <v>415</v>
          </cell>
          <cell r="BS12" t="str">
            <v>B40</v>
          </cell>
          <cell r="BT12" t="str">
            <v>CPB</v>
          </cell>
          <cell r="BU12" t="str">
            <v>Evogene service</v>
          </cell>
          <cell r="BV12" t="str">
            <v>Period</v>
          </cell>
          <cell r="BW12">
            <v>523.54476488960313</v>
          </cell>
          <cell r="CG12" t="str">
            <v xml:space="preserve">Inventory </v>
          </cell>
          <cell r="CH12">
            <v>40</v>
          </cell>
          <cell r="CQ12">
            <v>132</v>
          </cell>
          <cell r="CR12" t="str">
            <v>Lavie Bio Micro. Lab .LTD</v>
          </cell>
          <cell r="CS12" t="str">
            <v xml:space="preserve">Microbial Lab Manager </v>
          </cell>
          <cell r="CT12" t="str">
            <v xml:space="preserve">ציפי  </v>
          </cell>
          <cell r="CU12" t="str">
            <v>ראשית עיני</v>
          </cell>
          <cell r="CV12">
            <v>29758.48011500077</v>
          </cell>
          <cell r="CW12">
            <v>29758.48011500077</v>
          </cell>
          <cell r="CX12">
            <v>29758.48011500077</v>
          </cell>
          <cell r="CY12">
            <v>51278.48011500077</v>
          </cell>
          <cell r="CZ12">
            <v>29758.48011500077</v>
          </cell>
          <cell r="DA12">
            <v>29758.48011500077</v>
          </cell>
          <cell r="DB12">
            <v>29758.48011500077</v>
          </cell>
          <cell r="DC12">
            <v>29758.48011500077</v>
          </cell>
          <cell r="DD12">
            <v>29758.48011500077</v>
          </cell>
          <cell r="DE12">
            <v>29758.48011500077</v>
          </cell>
          <cell r="DF12">
            <v>29758.48011500077</v>
          </cell>
          <cell r="DG12">
            <v>29758.48011500077</v>
          </cell>
          <cell r="DH12">
            <v>378621.76138000912</v>
          </cell>
        </row>
        <row r="13">
          <cell r="B13">
            <v>207</v>
          </cell>
          <cell r="C13" t="str">
            <v>Biomica CSO</v>
          </cell>
          <cell r="P13" t="str">
            <v>Breeding general</v>
          </cell>
          <cell r="Q13" t="str">
            <v>P197 - Breeding general</v>
          </cell>
          <cell r="R13" t="str">
            <v>Canonic</v>
          </cell>
          <cell r="S13" t="str">
            <v>P197</v>
          </cell>
          <cell r="U13" t="str">
            <v>B72</v>
          </cell>
          <cell r="V13" t="str">
            <v>Casterra</v>
          </cell>
          <cell r="BN13" t="str">
            <v>T108 - PLM</v>
          </cell>
          <cell r="BO13" t="str">
            <v>PLM FTE annual cost</v>
          </cell>
          <cell r="BP13" t="str">
            <v>B40/22.P997.412.XXX-T108</v>
          </cell>
          <cell r="BQ13" t="str">
            <v>Per annual FTE</v>
          </cell>
          <cell r="BR13" t="str">
            <v>412</v>
          </cell>
          <cell r="BS13" t="str">
            <v>B40</v>
          </cell>
          <cell r="BT13" t="str">
            <v>CPB</v>
          </cell>
          <cell r="BU13" t="str">
            <v>Evogene service</v>
          </cell>
          <cell r="BV13" t="str">
            <v>Period</v>
          </cell>
          <cell r="BW13">
            <v>568.75740332391092</v>
          </cell>
          <cell r="CQ13">
            <v>105</v>
          </cell>
          <cell r="CR13" t="str">
            <v>Lavie Bio Development .LTD</v>
          </cell>
          <cell r="CS13" t="str">
            <v>Fermentation Technician</v>
          </cell>
          <cell r="CT13" t="str">
            <v>אלמוג</v>
          </cell>
          <cell r="CU13" t="str">
            <v>קסטנבאום</v>
          </cell>
          <cell r="CV13">
            <v>15885.70441416705</v>
          </cell>
          <cell r="CW13">
            <v>15885.70441416705</v>
          </cell>
          <cell r="CX13">
            <v>15885.70441416705</v>
          </cell>
          <cell r="CY13">
            <v>21265.704414167049</v>
          </cell>
          <cell r="CZ13">
            <v>15885.70441416705</v>
          </cell>
          <cell r="DA13">
            <v>15885.70441416705</v>
          </cell>
          <cell r="DB13">
            <v>15885.70441416705</v>
          </cell>
          <cell r="DC13">
            <v>15885.70441416705</v>
          </cell>
          <cell r="DD13">
            <v>15885.70441416705</v>
          </cell>
          <cell r="DE13">
            <v>15885.70441416705</v>
          </cell>
          <cell r="DF13">
            <v>15885.70441416705</v>
          </cell>
          <cell r="DG13">
            <v>15885.70441416705</v>
          </cell>
          <cell r="DH13">
            <v>196008.45297000464</v>
          </cell>
        </row>
        <row r="14">
          <cell r="B14">
            <v>994</v>
          </cell>
          <cell r="C14" t="str">
            <v>Biomica Exec. MGMT</v>
          </cell>
          <cell r="P14" t="str">
            <v xml:space="preserve">Breeding -MG </v>
          </cell>
          <cell r="Q14" t="str">
            <v xml:space="preserve">P198 - Breeding -MG </v>
          </cell>
          <cell r="R14" t="str">
            <v>Canonic</v>
          </cell>
          <cell r="S14" t="str">
            <v>P198</v>
          </cell>
          <cell r="U14" t="str">
            <v>B74</v>
          </cell>
          <cell r="V14" t="str">
            <v>Canonic</v>
          </cell>
          <cell r="BN14" t="str">
            <v>T109 - Product Manager</v>
          </cell>
          <cell r="BO14" t="str">
            <v>Product Manager FTE annual cost</v>
          </cell>
          <cell r="BP14" t="str">
            <v>B55/22.P997.427.XXX-T109</v>
          </cell>
          <cell r="BQ14" t="str">
            <v>Per annual FTE</v>
          </cell>
          <cell r="BR14" t="str">
            <v>427</v>
          </cell>
          <cell r="BS14" t="str">
            <v>B55</v>
          </cell>
          <cell r="BT14" t="str">
            <v>CPB</v>
          </cell>
          <cell r="BU14" t="str">
            <v>Evogene service</v>
          </cell>
          <cell r="BV14" t="str">
            <v>Period</v>
          </cell>
          <cell r="BW14">
            <v>827.44320670591105</v>
          </cell>
          <cell r="CQ14">
            <v>104</v>
          </cell>
          <cell r="CR14" t="str">
            <v>Lavie Bio Research .LTD</v>
          </cell>
          <cell r="CS14" t="str">
            <v>Optimization Technologies Research Leader</v>
          </cell>
          <cell r="CT14" t="str">
            <v xml:space="preserve">קרן </v>
          </cell>
          <cell r="CU14" t="str">
            <v>שמש</v>
          </cell>
          <cell r="CV14">
            <v>27186.641987875715</v>
          </cell>
          <cell r="CW14">
            <v>27186.641987875715</v>
          </cell>
          <cell r="CX14">
            <v>27186.641987875715</v>
          </cell>
          <cell r="CY14">
            <v>47092.641987875715</v>
          </cell>
          <cell r="CZ14">
            <v>27186.641987875715</v>
          </cell>
          <cell r="DA14">
            <v>27186.641987875715</v>
          </cell>
          <cell r="DB14">
            <v>27186.641987875715</v>
          </cell>
          <cell r="DC14">
            <v>27186.641987875715</v>
          </cell>
          <cell r="DD14">
            <v>27186.641987875715</v>
          </cell>
          <cell r="DE14">
            <v>27186.641987875715</v>
          </cell>
          <cell r="DF14">
            <v>27186.641987875715</v>
          </cell>
          <cell r="DG14">
            <v>27186.641987875715</v>
          </cell>
          <cell r="DH14">
            <v>346145.70385450847</v>
          </cell>
        </row>
        <row r="15">
          <cell r="B15">
            <v>206</v>
          </cell>
          <cell r="C15" t="str">
            <v>Biomica Lab</v>
          </cell>
          <cell r="P15" t="str">
            <v>Core collection &amp; Database</v>
          </cell>
          <cell r="Q15" t="str">
            <v>P199 - Core collection &amp; Database</v>
          </cell>
          <cell r="R15" t="str">
            <v>Canonic</v>
          </cell>
          <cell r="S15" t="str">
            <v>P199</v>
          </cell>
          <cell r="U15" t="str">
            <v>B90</v>
          </cell>
          <cell r="V15" t="str">
            <v>Corporate</v>
          </cell>
          <cell r="BN15" t="str">
            <v>T110 - Project Manager</v>
          </cell>
          <cell r="BO15" t="str">
            <v>Project Manager FTE annual cost</v>
          </cell>
          <cell r="BP15" t="str">
            <v>B40/22.P997.426.XXX-T110</v>
          </cell>
          <cell r="BQ15" t="str">
            <v>Per annual FTE</v>
          </cell>
          <cell r="BR15" t="str">
            <v>426</v>
          </cell>
          <cell r="BS15" t="str">
            <v>B40</v>
          </cell>
          <cell r="BT15" t="str">
            <v>CPB</v>
          </cell>
          <cell r="BU15" t="str">
            <v>Evogene service</v>
          </cell>
          <cell r="BV15" t="str">
            <v>Period</v>
          </cell>
          <cell r="BW15">
            <v>0</v>
          </cell>
          <cell r="CQ15">
            <v>104</v>
          </cell>
          <cell r="CR15" t="str">
            <v>Lavie Bio Research .LTD</v>
          </cell>
          <cell r="CS15" t="str">
            <v xml:space="preserve">Research Assistant </v>
          </cell>
          <cell r="CT15" t="str">
            <v xml:space="preserve">ענבל </v>
          </cell>
          <cell r="CU15" t="str">
            <v>אשכנזי</v>
          </cell>
          <cell r="CV15">
            <v>20357.907937458855</v>
          </cell>
          <cell r="CW15">
            <v>20357.907937458855</v>
          </cell>
          <cell r="CX15">
            <v>20357.907937458855</v>
          </cell>
          <cell r="CY15">
            <v>27620.907937458855</v>
          </cell>
          <cell r="CZ15">
            <v>20357.907937458855</v>
          </cell>
          <cell r="DA15">
            <v>20357.907937458855</v>
          </cell>
          <cell r="DB15">
            <v>20357.907937458855</v>
          </cell>
          <cell r="DC15">
            <v>20357.907937458855</v>
          </cell>
          <cell r="DD15">
            <v>20357.907937458855</v>
          </cell>
          <cell r="DE15">
            <v>20357.907937458855</v>
          </cell>
          <cell r="DF15">
            <v>20357.907937458855</v>
          </cell>
          <cell r="DG15">
            <v>20357.907937458855</v>
          </cell>
          <cell r="DH15">
            <v>251557.89524950631</v>
          </cell>
        </row>
        <row r="16">
          <cell r="B16">
            <v>999</v>
          </cell>
          <cell r="C16" t="str">
            <v>Biomica RD</v>
          </cell>
          <cell r="P16" t="str">
            <v>Product development</v>
          </cell>
          <cell r="Q16" t="str">
            <v>P205 - Product development</v>
          </cell>
          <cell r="R16" t="str">
            <v>Canonic</v>
          </cell>
          <cell r="S16" t="str">
            <v>P205</v>
          </cell>
          <cell r="BN16" t="str">
            <v>T111 - Seedbank</v>
          </cell>
          <cell r="BO16" t="str">
            <v>Seedbank FTE annual cost</v>
          </cell>
          <cell r="BP16" t="str">
            <v>B40/22.P997.418.XXX-T111</v>
          </cell>
          <cell r="BQ16" t="str">
            <v>Per annual FTE</v>
          </cell>
          <cell r="BR16" t="str">
            <v>418</v>
          </cell>
          <cell r="BS16" t="str">
            <v>B40</v>
          </cell>
          <cell r="BT16" t="str">
            <v>CPB</v>
          </cell>
          <cell r="BU16" t="str">
            <v>Evogene service</v>
          </cell>
          <cell r="BV16" t="str">
            <v>Period</v>
          </cell>
          <cell r="BW16">
            <v>0</v>
          </cell>
          <cell r="CQ16">
            <v>132</v>
          </cell>
          <cell r="CR16" t="str">
            <v>Lavie Bio Micro. Lab .LTD</v>
          </cell>
          <cell r="CS16" t="str">
            <v>Microbial Lab Technician</v>
          </cell>
          <cell r="CT16" t="str">
            <v>נועה</v>
          </cell>
          <cell r="CU16" t="str">
            <v>רוט</v>
          </cell>
          <cell r="CV16">
            <v>17250.426872250424</v>
          </cell>
          <cell r="CW16">
            <v>17250.426872250424</v>
          </cell>
          <cell r="CX16">
            <v>17250.426872250424</v>
          </cell>
          <cell r="CY16">
            <v>23168.426872250424</v>
          </cell>
          <cell r="CZ16">
            <v>17250.426872250424</v>
          </cell>
          <cell r="DA16">
            <v>17250.426872250424</v>
          </cell>
          <cell r="DB16">
            <v>17250.426872250424</v>
          </cell>
          <cell r="DC16">
            <v>17250.426872250424</v>
          </cell>
          <cell r="DD16">
            <v>17250.426872250424</v>
          </cell>
          <cell r="DE16">
            <v>17250.426872250424</v>
          </cell>
          <cell r="DF16">
            <v>17250.426872250424</v>
          </cell>
          <cell r="DG16">
            <v>17250.426872250424</v>
          </cell>
          <cell r="DH16">
            <v>212923.12246700507</v>
          </cell>
        </row>
        <row r="17">
          <cell r="B17">
            <v>422</v>
          </cell>
          <cell r="C17" t="str">
            <v>CPB Directors</v>
          </cell>
          <cell r="P17" t="str">
            <v>Computational Dev</v>
          </cell>
          <cell r="Q17" t="str">
            <v>P209 - Computational Dev</v>
          </cell>
          <cell r="R17" t="str">
            <v>Canonic</v>
          </cell>
          <cell r="S17" t="str">
            <v>P209</v>
          </cell>
          <cell r="BN17" t="str">
            <v>T112 - Software Developer</v>
          </cell>
          <cell r="BO17" t="str">
            <v>Software Developer FTE annual cost</v>
          </cell>
          <cell r="BP17" t="str">
            <v>B40/22.P997.406.XXX-T112</v>
          </cell>
          <cell r="BQ17" t="str">
            <v>Per annual FTE</v>
          </cell>
          <cell r="BR17" t="str">
            <v>406</v>
          </cell>
          <cell r="BS17" t="str">
            <v>B40</v>
          </cell>
          <cell r="BT17" t="str">
            <v>CPB</v>
          </cell>
          <cell r="BU17" t="str">
            <v>Evogene service</v>
          </cell>
          <cell r="BV17" t="str">
            <v>Period</v>
          </cell>
          <cell r="BW17">
            <v>1020.572214722201</v>
          </cell>
          <cell r="CQ17">
            <v>105</v>
          </cell>
          <cell r="CR17" t="str">
            <v>Lavie Bio Development .LTD</v>
          </cell>
          <cell r="CS17" t="str">
            <v>Fermentation &amp; Formulation Technician</v>
          </cell>
          <cell r="CT17" t="str">
            <v xml:space="preserve">קובי </v>
          </cell>
          <cell r="CU17" t="str">
            <v>סמואל</v>
          </cell>
          <cell r="CV17">
            <v>17518.528101292108</v>
          </cell>
          <cell r="CW17">
            <v>17518.528101292108</v>
          </cell>
          <cell r="CX17">
            <v>17518.528101292108</v>
          </cell>
          <cell r="CY17">
            <v>23705.528101292108</v>
          </cell>
          <cell r="CZ17">
            <v>17518.528101292108</v>
          </cell>
          <cell r="DA17">
            <v>17518.528101292108</v>
          </cell>
          <cell r="DB17">
            <v>17518.528101292108</v>
          </cell>
          <cell r="DC17">
            <v>17518.528101292108</v>
          </cell>
          <cell r="DD17">
            <v>17518.528101292108</v>
          </cell>
          <cell r="DE17">
            <v>17518.528101292108</v>
          </cell>
          <cell r="DF17">
            <v>17518.528101292108</v>
          </cell>
          <cell r="DG17">
            <v>17518.528101292108</v>
          </cell>
          <cell r="DH17">
            <v>216409.33721550534</v>
          </cell>
        </row>
        <row r="18">
          <cell r="B18">
            <v>401</v>
          </cell>
          <cell r="C18" t="str">
            <v>CPB Exec. MGMT</v>
          </cell>
          <cell r="P18" t="str">
            <v>Rebranding</v>
          </cell>
          <cell r="Q18" t="str">
            <v>P268 - Rebranding</v>
          </cell>
          <cell r="R18" t="str">
            <v>Corporate</v>
          </cell>
          <cell r="S18" t="str">
            <v>P268</v>
          </cell>
          <cell r="BN18" t="str">
            <v>T113 - Tissue Biologist</v>
          </cell>
          <cell r="BO18" t="str">
            <v>Tissue Biologist FTE annual cost</v>
          </cell>
          <cell r="BP18" t="str">
            <v>B40/22.P997.416.XXX-T113</v>
          </cell>
          <cell r="BQ18" t="str">
            <v>Per annual FTE</v>
          </cell>
          <cell r="BR18" t="str">
            <v>416</v>
          </cell>
          <cell r="BS18" t="str">
            <v>B40</v>
          </cell>
          <cell r="BT18" t="str">
            <v>CPB</v>
          </cell>
          <cell r="BU18" t="str">
            <v>Evogene service</v>
          </cell>
          <cell r="BV18" t="str">
            <v>Period</v>
          </cell>
          <cell r="BW18">
            <v>604.21798980735002</v>
          </cell>
          <cell r="CQ18">
            <v>104</v>
          </cell>
          <cell r="CR18" t="str">
            <v>Lavie Bio Research .LTD</v>
          </cell>
          <cell r="CS18" t="str">
            <v>Research Assistant</v>
          </cell>
          <cell r="CT18" t="str">
            <v xml:space="preserve">עדיאל </v>
          </cell>
          <cell r="CU18" t="str">
            <v>אשטמקר</v>
          </cell>
          <cell r="CV18">
            <v>18146.820330333794</v>
          </cell>
          <cell r="CW18">
            <v>18146.820330333794</v>
          </cell>
          <cell r="CX18">
            <v>18146.820330333794</v>
          </cell>
          <cell r="CY18">
            <v>24602.820330333794</v>
          </cell>
          <cell r="CZ18">
            <v>18146.820330333794</v>
          </cell>
          <cell r="DA18">
            <v>18146.820330333794</v>
          </cell>
          <cell r="DB18">
            <v>18146.820330333794</v>
          </cell>
          <cell r="DC18">
            <v>18146.820330333794</v>
          </cell>
          <cell r="DD18">
            <v>18146.820330333794</v>
          </cell>
          <cell r="DE18">
            <v>18146.820330333794</v>
          </cell>
          <cell r="DF18">
            <v>18146.820330333794</v>
          </cell>
          <cell r="DG18">
            <v>18146.820330333794</v>
          </cell>
          <cell r="DH18">
            <v>224217.84396400547</v>
          </cell>
        </row>
        <row r="19">
          <cell r="B19">
            <v>996</v>
          </cell>
          <cell r="C19" t="str">
            <v>Canonic BD</v>
          </cell>
          <cell r="P19" t="str">
            <v>Zero Balance</v>
          </cell>
          <cell r="Q19" t="str">
            <v>P509 - Zero Balance</v>
          </cell>
          <cell r="R19" t="str">
            <v>Corporate</v>
          </cell>
          <cell r="S19" t="str">
            <v>P509</v>
          </cell>
          <cell r="BN19" t="str">
            <v>T114 - Hourly Student</v>
          </cell>
          <cell r="BO19" t="str">
            <v>Hourly Student FTE annual cost</v>
          </cell>
          <cell r="BQ19" t="str">
            <v>Per annual FTE</v>
          </cell>
          <cell r="BR19" t="str">
            <v>418</v>
          </cell>
          <cell r="BS19" t="str">
            <v>B40</v>
          </cell>
          <cell r="BT19" t="str">
            <v>External</v>
          </cell>
          <cell r="BU19" t="str">
            <v>External</v>
          </cell>
          <cell r="BV19" t="str">
            <v>Period</v>
          </cell>
          <cell r="BW19">
            <v>172.72727272727272</v>
          </cell>
          <cell r="CQ19">
            <v>102</v>
          </cell>
          <cell r="CR19" t="str">
            <v>Lavie Bio BD .LTD</v>
          </cell>
          <cell r="CS19" t="str">
            <v>VP of business Development</v>
          </cell>
          <cell r="CT19" t="str">
            <v>דור</v>
          </cell>
          <cell r="CU19" t="str">
            <v>קסטכר</v>
          </cell>
          <cell r="CV19">
            <v>51000.646964334708</v>
          </cell>
          <cell r="CW19">
            <v>51000.646964334708</v>
          </cell>
          <cell r="CX19">
            <v>51000.646964334708</v>
          </cell>
          <cell r="CY19">
            <v>89736.646964334708</v>
          </cell>
          <cell r="CZ19">
            <v>51000.646964334708</v>
          </cell>
          <cell r="DA19">
            <v>51000.646964334708</v>
          </cell>
          <cell r="DB19">
            <v>51000.646964334708</v>
          </cell>
          <cell r="DC19">
            <v>51000.646964334708</v>
          </cell>
          <cell r="DD19">
            <v>51000.646964334708</v>
          </cell>
          <cell r="DE19">
            <v>51000.646964334708</v>
          </cell>
          <cell r="DF19">
            <v>51000.646964334708</v>
          </cell>
          <cell r="DG19">
            <v>51000.646964334708</v>
          </cell>
          <cell r="DH19">
            <v>650743.7635720165</v>
          </cell>
        </row>
        <row r="20">
          <cell r="B20">
            <v>982</v>
          </cell>
          <cell r="C20" t="str">
            <v>Canonic Exec.MGMT</v>
          </cell>
          <cell r="P20" t="str">
            <v>Operations &amp; Corporate</v>
          </cell>
          <cell r="Q20" t="str">
            <v>P7 - Operations &amp; Corporate</v>
          </cell>
          <cell r="R20" t="str">
            <v>Corporate</v>
          </cell>
          <cell r="S20" t="str">
            <v>P7</v>
          </cell>
          <cell r="BN20" t="str">
            <v>T115 - System Architect</v>
          </cell>
          <cell r="BW20">
            <v>1237.1964239733679</v>
          </cell>
          <cell r="CQ20">
            <v>132</v>
          </cell>
          <cell r="CR20" t="str">
            <v>Lavie Bio Micro. Lab .LTD</v>
          </cell>
          <cell r="CS20" t="str">
            <v>Lab Technician</v>
          </cell>
          <cell r="CT20" t="str">
            <v xml:space="preserve">שרון </v>
          </cell>
          <cell r="CU20" t="str">
            <v>ברזין</v>
          </cell>
          <cell r="CV20">
            <v>10952.146905396094</v>
          </cell>
          <cell r="CW20">
            <v>10952.146905396094</v>
          </cell>
          <cell r="CX20">
            <v>10952.146905396094</v>
          </cell>
          <cell r="CY20">
            <v>14583.646905396094</v>
          </cell>
          <cell r="CZ20">
            <v>10952.146905396094</v>
          </cell>
          <cell r="DA20">
            <v>10952.146905396094</v>
          </cell>
          <cell r="DB20">
            <v>10952.146905396094</v>
          </cell>
          <cell r="DC20">
            <v>10952.146905396094</v>
          </cell>
          <cell r="DD20">
            <v>10952.146905396094</v>
          </cell>
          <cell r="DE20">
            <v>10952.146905396094</v>
          </cell>
          <cell r="DF20">
            <v>10952.146905396094</v>
          </cell>
          <cell r="DG20">
            <v>10952.146905396094</v>
          </cell>
          <cell r="DH20">
            <v>135057.26286475311</v>
          </cell>
        </row>
        <row r="21">
          <cell r="B21">
            <v>981</v>
          </cell>
          <cell r="C21" t="str">
            <v>Canonic RD</v>
          </cell>
          <cell r="P21" t="str">
            <v>CPB Upkeep Computational</v>
          </cell>
          <cell r="Q21" t="str">
            <v>P271 - CPB Upkeep Computational</v>
          </cell>
          <cell r="R21" t="str">
            <v>CPB</v>
          </cell>
          <cell r="S21" t="str">
            <v>P271</v>
          </cell>
          <cell r="BN21" t="str">
            <v>T201 - Data Package</v>
          </cell>
          <cell r="BO21" t="str">
            <v>Data Package Fixed cost</v>
          </cell>
          <cell r="BP21" t="str">
            <v>B40/22.P271.422.XXX-T201</v>
          </cell>
          <cell r="BQ21" t="str">
            <v>Fixed - Specific</v>
          </cell>
          <cell r="BR21" t="str">
            <v>422</v>
          </cell>
          <cell r="BS21" t="str">
            <v>B40</v>
          </cell>
          <cell r="BT21" t="str">
            <v>CPB</v>
          </cell>
          <cell r="BU21" t="str">
            <v>Evogene service</v>
          </cell>
          <cell r="BV21" t="str">
            <v>Period</v>
          </cell>
          <cell r="BW21">
            <v>0</v>
          </cell>
          <cell r="CQ21">
            <v>103</v>
          </cell>
          <cell r="CR21" t="str">
            <v>Lavie Bio PM</v>
          </cell>
          <cell r="CS21" t="str">
            <v>PM &amp; Field trials leader</v>
          </cell>
          <cell r="CT21" t="str">
            <v>לימור</v>
          </cell>
          <cell r="CU21" t="str">
            <v>וייס</v>
          </cell>
          <cell r="CV21">
            <v>22371.108384583909</v>
          </cell>
          <cell r="CW21">
            <v>22371.108384583909</v>
          </cell>
          <cell r="CX21">
            <v>22371.108384583909</v>
          </cell>
          <cell r="CY21">
            <v>30441.108384583909</v>
          </cell>
          <cell r="CZ21">
            <v>22371.108384583909</v>
          </cell>
          <cell r="DA21">
            <v>22371.108384583909</v>
          </cell>
          <cell r="DB21">
            <v>22371.108384583909</v>
          </cell>
          <cell r="DC21">
            <v>22371.108384583909</v>
          </cell>
          <cell r="DD21">
            <v>22371.108384583909</v>
          </cell>
          <cell r="DE21">
            <v>22371.108384583909</v>
          </cell>
          <cell r="DF21">
            <v>22371.108384583909</v>
          </cell>
          <cell r="DG21">
            <v>22371.108384583909</v>
          </cell>
          <cell r="DH21">
            <v>276523.30061500688</v>
          </cell>
        </row>
        <row r="22">
          <cell r="B22">
            <v>993</v>
          </cell>
          <cell r="C22" t="str">
            <v>Casterra BD</v>
          </cell>
          <cell r="P22" t="str">
            <v>CPB Upkeep Experimental</v>
          </cell>
          <cell r="Q22" t="str">
            <v>P275 - CPB Upkeep Experimental</v>
          </cell>
          <cell r="R22" t="str">
            <v>CPB</v>
          </cell>
          <cell r="S22" t="str">
            <v>P275</v>
          </cell>
          <cell r="BN22" t="str">
            <v>T202 - Genes Package</v>
          </cell>
          <cell r="BO22" t="str">
            <v>Genes Package Fixed cost</v>
          </cell>
          <cell r="BP22" t="str">
            <v>B40/22.P272.422.XXX-T202</v>
          </cell>
          <cell r="BQ22" t="str">
            <v>Fixed - Specific</v>
          </cell>
          <cell r="BR22" t="str">
            <v>422</v>
          </cell>
          <cell r="BS22" t="str">
            <v>B40</v>
          </cell>
          <cell r="BT22" t="str">
            <v>CPB</v>
          </cell>
          <cell r="BU22" t="str">
            <v>Evogene service</v>
          </cell>
          <cell r="BV22" t="str">
            <v>Period</v>
          </cell>
          <cell r="BW22">
            <v>0</v>
          </cell>
          <cell r="CQ22">
            <v>104</v>
          </cell>
          <cell r="CR22" t="str">
            <v>Lavie Bio Research .LTD</v>
          </cell>
          <cell r="CS22" t="str">
            <v>Synthetic Biologist leader</v>
          </cell>
          <cell r="CT22" t="str">
            <v>אסנת</v>
          </cell>
          <cell r="CU22" t="str">
            <v>אייל</v>
          </cell>
          <cell r="CV22">
            <v>26402.878518834023</v>
          </cell>
          <cell r="CW22">
            <v>26402.878518834023</v>
          </cell>
          <cell r="CX22">
            <v>26402.878518834023</v>
          </cell>
          <cell r="CY22">
            <v>36086.878518834026</v>
          </cell>
          <cell r="CZ22">
            <v>26402.878518834023</v>
          </cell>
          <cell r="DA22">
            <v>26402.878518834023</v>
          </cell>
          <cell r="DB22">
            <v>26402.878518834023</v>
          </cell>
          <cell r="DC22">
            <v>26402.878518834023</v>
          </cell>
          <cell r="DD22">
            <v>26402.878518834023</v>
          </cell>
          <cell r="DE22">
            <v>26402.878518834023</v>
          </cell>
          <cell r="DF22">
            <v>26402.878518834023</v>
          </cell>
          <cell r="DG22">
            <v>26402.878518834023</v>
          </cell>
          <cell r="DH22">
            <v>326518.5422260082</v>
          </cell>
        </row>
        <row r="23">
          <cell r="B23">
            <v>998</v>
          </cell>
          <cell r="C23" t="str">
            <v>Casterra RD</v>
          </cell>
          <cell r="P23" t="str">
            <v>CTO Projects</v>
          </cell>
          <cell r="Q23" t="str">
            <v>P276 - CTO Projects</v>
          </cell>
          <cell r="R23" t="str">
            <v>CPB</v>
          </cell>
          <cell r="S23" t="str">
            <v>P276</v>
          </cell>
          <cell r="BN23" t="str">
            <v>T203 - Microbes Package</v>
          </cell>
          <cell r="BO23" t="str">
            <v>Microbes Package Fixed cost</v>
          </cell>
          <cell r="BP23" t="str">
            <v>B40/22.P273.422.XXX-T203</v>
          </cell>
          <cell r="BQ23" t="str">
            <v>Fixed - Specific</v>
          </cell>
          <cell r="BR23" t="str">
            <v>422</v>
          </cell>
          <cell r="BS23" t="str">
            <v>B40</v>
          </cell>
          <cell r="BT23" t="str">
            <v>CPB</v>
          </cell>
          <cell r="BU23" t="str">
            <v>Evogene service</v>
          </cell>
          <cell r="BV23" t="str">
            <v>Period</v>
          </cell>
          <cell r="BW23">
            <v>0</v>
          </cell>
          <cell r="CQ23">
            <v>111</v>
          </cell>
          <cell r="CR23" t="str">
            <v>Lavie Bio COO .LTD</v>
          </cell>
          <cell r="CS23" t="str">
            <v>Project manager</v>
          </cell>
          <cell r="CT23" t="str">
            <v xml:space="preserve">PM </v>
          </cell>
          <cell r="CU23" t="str">
            <v xml:space="preserve">PM </v>
          </cell>
          <cell r="CV23">
            <v>30571.452536917397</v>
          </cell>
          <cell r="CW23">
            <v>30571.452536917397</v>
          </cell>
          <cell r="CX23">
            <v>30571.452536917397</v>
          </cell>
          <cell r="CY23">
            <v>40793.452536917393</v>
          </cell>
          <cell r="CZ23">
            <v>30571.452536917397</v>
          </cell>
          <cell r="DA23">
            <v>30571.452536917397</v>
          </cell>
          <cell r="DB23">
            <v>30571.452536917397</v>
          </cell>
          <cell r="DC23">
            <v>30571.452536917397</v>
          </cell>
          <cell r="DD23">
            <v>30571.452536917397</v>
          </cell>
          <cell r="DE23">
            <v>30571.452536917397</v>
          </cell>
          <cell r="DF23">
            <v>30571.452536917397</v>
          </cell>
          <cell r="DG23">
            <v>30571.452536917397</v>
          </cell>
          <cell r="DH23">
            <v>377079.43044300884</v>
          </cell>
        </row>
        <row r="24">
          <cell r="B24">
            <v>417</v>
          </cell>
          <cell r="C24" t="str">
            <v>Chemistry Lab</v>
          </cell>
          <cell r="P24" t="str">
            <v>CPB projects Computational</v>
          </cell>
          <cell r="Q24" t="str">
            <v>P279 - CPB projects Computational</v>
          </cell>
          <cell r="R24" t="str">
            <v>CPB</v>
          </cell>
          <cell r="S24" t="str">
            <v>P279</v>
          </cell>
          <cell r="BN24" t="str">
            <v>T204 - Small Molecules</v>
          </cell>
          <cell r="BO24" t="str">
            <v>Small Molecules Fixed cost</v>
          </cell>
          <cell r="BP24" t="str">
            <v>B40/22.P274.422.XXX-T204</v>
          </cell>
          <cell r="BQ24" t="str">
            <v>Fixed - Specific</v>
          </cell>
          <cell r="BR24" t="str">
            <v>422</v>
          </cell>
          <cell r="BS24" t="str">
            <v>B40</v>
          </cell>
          <cell r="BT24" t="str">
            <v>CPB</v>
          </cell>
          <cell r="BU24" t="str">
            <v>Evogene service</v>
          </cell>
          <cell r="BV24" t="str">
            <v>Period</v>
          </cell>
          <cell r="BW24">
            <v>0</v>
          </cell>
          <cell r="CQ24">
            <v>132</v>
          </cell>
          <cell r="CR24" t="str">
            <v>Lavie Bio Micro. Lab .LTD</v>
          </cell>
          <cell r="CS24" t="str">
            <v xml:space="preserve">Hourly Assistant </v>
          </cell>
          <cell r="CT24" t="str">
            <v xml:space="preserve">טל </v>
          </cell>
          <cell r="CU24" t="str">
            <v>אוליאל</v>
          </cell>
          <cell r="CV24">
            <v>6000</v>
          </cell>
          <cell r="CW24">
            <v>6000</v>
          </cell>
          <cell r="CX24">
            <v>6000</v>
          </cell>
          <cell r="CY24">
            <v>6000</v>
          </cell>
          <cell r="CZ24">
            <v>6000</v>
          </cell>
          <cell r="DA24">
            <v>6000</v>
          </cell>
          <cell r="DB24">
            <v>6000</v>
          </cell>
          <cell r="DC24">
            <v>6000</v>
          </cell>
          <cell r="DD24">
            <v>6000</v>
          </cell>
          <cell r="DE24">
            <v>6000</v>
          </cell>
          <cell r="DF24">
            <v>6000</v>
          </cell>
          <cell r="DG24">
            <v>6000</v>
          </cell>
          <cell r="DH24">
            <v>72000</v>
          </cell>
        </row>
        <row r="25">
          <cell r="B25">
            <v>602</v>
          </cell>
          <cell r="C25" t="str">
            <v>Corporate BD</v>
          </cell>
          <cell r="P25" t="str">
            <v>CPB projects Experimental</v>
          </cell>
          <cell r="Q25" t="str">
            <v>P281 - CPB projects Experimental</v>
          </cell>
          <cell r="R25" t="str">
            <v>CPB</v>
          </cell>
          <cell r="S25" t="str">
            <v>P281</v>
          </cell>
          <cell r="BN25" t="str">
            <v>T205 - Labs and GH package</v>
          </cell>
          <cell r="BO25" t="str">
            <v>Labs and GH package Fixed cost</v>
          </cell>
          <cell r="BP25" t="str">
            <v>B40/22.P275.422.XXX-T205</v>
          </cell>
          <cell r="BQ25" t="str">
            <v>Fixed - Specific</v>
          </cell>
          <cell r="BR25" t="str">
            <v>422</v>
          </cell>
          <cell r="BS25" t="str">
            <v>B40</v>
          </cell>
          <cell r="BT25" t="str">
            <v>CPB</v>
          </cell>
          <cell r="BU25" t="str">
            <v>Evogene service</v>
          </cell>
          <cell r="BV25" t="str">
            <v>Period</v>
          </cell>
          <cell r="BW25">
            <v>0</v>
          </cell>
          <cell r="CQ25">
            <v>132</v>
          </cell>
          <cell r="CR25" t="str">
            <v>Lavie Bio Micro. Lab .LTD</v>
          </cell>
          <cell r="CS25" t="str">
            <v xml:space="preserve">Hourly Assistant </v>
          </cell>
          <cell r="CT25" t="str">
            <v>ויסוצקי</v>
          </cell>
          <cell r="CU25" t="str">
            <v>חן</v>
          </cell>
          <cell r="CV25">
            <v>6000</v>
          </cell>
          <cell r="CW25">
            <v>6000</v>
          </cell>
          <cell r="CX25">
            <v>6000</v>
          </cell>
          <cell r="CY25">
            <v>6000</v>
          </cell>
          <cell r="CZ25">
            <v>6000</v>
          </cell>
          <cell r="DA25">
            <v>6000</v>
          </cell>
          <cell r="DB25">
            <v>6000</v>
          </cell>
          <cell r="DC25">
            <v>6000</v>
          </cell>
          <cell r="DD25">
            <v>6000</v>
          </cell>
          <cell r="DE25">
            <v>6000</v>
          </cell>
          <cell r="DF25">
            <v>6000</v>
          </cell>
          <cell r="DG25">
            <v>6000</v>
          </cell>
          <cell r="DH25">
            <v>72000</v>
          </cell>
        </row>
        <row r="26">
          <cell r="B26">
            <v>601</v>
          </cell>
          <cell r="C26" t="str">
            <v>Corporate Exec. MGMT</v>
          </cell>
          <cell r="P26" t="str">
            <v>Corteva</v>
          </cell>
          <cell r="Q26" t="str">
            <v>P145 - Corteva</v>
          </cell>
          <cell r="R26" t="str">
            <v>Lavie Bio</v>
          </cell>
          <cell r="S26" t="str">
            <v>P145</v>
          </cell>
          <cell r="BN26" t="str">
            <v>T206 - GR</v>
          </cell>
          <cell r="BW26">
            <v>0</v>
          </cell>
          <cell r="CQ26">
            <v>132</v>
          </cell>
          <cell r="CR26" t="str">
            <v>Lavie Bio Micro. Lab .LTD</v>
          </cell>
          <cell r="CS26" t="str">
            <v xml:space="preserve">Hourly Assistant </v>
          </cell>
          <cell r="CT26" t="str">
            <v xml:space="preserve">רובין </v>
          </cell>
          <cell r="CU26" t="str">
            <v>רינת</v>
          </cell>
          <cell r="CV26">
            <v>6000</v>
          </cell>
          <cell r="CW26">
            <v>6000</v>
          </cell>
          <cell r="CX26">
            <v>6000</v>
          </cell>
          <cell r="CY26">
            <v>6000</v>
          </cell>
          <cell r="CZ26">
            <v>6000</v>
          </cell>
          <cell r="DA26">
            <v>6000</v>
          </cell>
          <cell r="DB26">
            <v>6000</v>
          </cell>
          <cell r="DC26">
            <v>6000</v>
          </cell>
          <cell r="DD26">
            <v>6000</v>
          </cell>
          <cell r="DE26">
            <v>6000</v>
          </cell>
          <cell r="DF26">
            <v>6000</v>
          </cell>
          <cell r="DG26">
            <v>6000</v>
          </cell>
          <cell r="DH26">
            <v>72000</v>
          </cell>
        </row>
        <row r="27">
          <cell r="B27">
            <v>411</v>
          </cell>
          <cell r="C27" t="str">
            <v>Data Generation</v>
          </cell>
          <cell r="P27" t="str">
            <v>Corteva - IA</v>
          </cell>
          <cell r="Q27" t="str">
            <v>P143-Corteva - IA</v>
          </cell>
          <cell r="R27" t="str">
            <v>Lavie Bio</v>
          </cell>
          <cell r="S27" t="str">
            <v>P143</v>
          </cell>
          <cell r="BN27" t="str">
            <v>T207 - CP</v>
          </cell>
          <cell r="BW27">
            <v>0</v>
          </cell>
        </row>
        <row r="28">
          <cell r="B28">
            <v>420</v>
          </cell>
          <cell r="C28" t="str">
            <v>DevOps</v>
          </cell>
          <cell r="P28" t="str">
            <v>Thrivus</v>
          </cell>
          <cell r="Q28" t="str">
            <v>P19 - Thrivus</v>
          </cell>
          <cell r="R28" t="str">
            <v>Lavie Bio</v>
          </cell>
          <cell r="S28" t="str">
            <v>P19</v>
          </cell>
          <cell r="BN28" t="str">
            <v>T208 - MB</v>
          </cell>
          <cell r="BW28">
            <v>98946.894968398236</v>
          </cell>
        </row>
        <row r="29">
          <cell r="B29">
            <v>650</v>
          </cell>
          <cell r="C29" t="str">
            <v>Evogene CSO</v>
          </cell>
          <cell r="P29" t="str">
            <v>Lavie_programs</v>
          </cell>
          <cell r="Q29" t="str">
            <v>P192-Lavie programs</v>
          </cell>
          <cell r="R29" t="str">
            <v>Lavie Bio</v>
          </cell>
          <cell r="S29" t="str">
            <v>P192</v>
          </cell>
          <cell r="BN29" t="str">
            <v>T209 - Computational</v>
          </cell>
          <cell r="BW29">
            <v>182029.14900584091</v>
          </cell>
          <cell r="CQ29" t="str">
            <v>Department number</v>
          </cell>
          <cell r="CR29" t="str">
            <v>Department</v>
          </cell>
          <cell r="CS29" t="str">
            <v>הגדרת תפקיד</v>
          </cell>
          <cell r="CT29" t="str">
            <v xml:space="preserve">שם פרטי </v>
          </cell>
          <cell r="CU29" t="str">
            <v xml:space="preserve">שם משפחה </v>
          </cell>
          <cell r="CV29" t="str">
            <v>ינואר</v>
          </cell>
          <cell r="CW29" t="str">
            <v>פברואר</v>
          </cell>
          <cell r="CX29" t="str">
            <v>מרץ</v>
          </cell>
          <cell r="CY29" t="str">
            <v>אפריל</v>
          </cell>
          <cell r="CZ29" t="str">
            <v>מאי</v>
          </cell>
          <cell r="DA29" t="str">
            <v>יוני</v>
          </cell>
          <cell r="DB29" t="str">
            <v>יולי</v>
          </cell>
          <cell r="DC29" t="str">
            <v>אוגוסט</v>
          </cell>
          <cell r="DD29" t="str">
            <v>ספטמבר</v>
          </cell>
          <cell r="DE29" t="str">
            <v>אוקטובר</v>
          </cell>
          <cell r="DF29" t="str">
            <v>נובמבר</v>
          </cell>
          <cell r="DG29" t="str">
            <v>דצמבר</v>
          </cell>
          <cell r="DH29" t="str">
            <v>סה"כ שנתי  - USD</v>
          </cell>
        </row>
        <row r="30">
          <cell r="B30">
            <v>997</v>
          </cell>
          <cell r="C30" t="str">
            <v>Evogene INC</v>
          </cell>
          <cell r="P30" t="str">
            <v>ICL</v>
          </cell>
          <cell r="Q30" t="str">
            <v>P82 - ICL</v>
          </cell>
          <cell r="R30" t="str">
            <v>Lavie Bio</v>
          </cell>
          <cell r="S30" t="str">
            <v>P82</v>
          </cell>
          <cell r="BN30" t="str">
            <v>T210 - Experimnetal</v>
          </cell>
          <cell r="BW30">
            <v>104612.89549280319</v>
          </cell>
          <cell r="CP30" t="str">
            <v>גורי  אורון</v>
          </cell>
          <cell r="CQ30">
            <v>101</v>
          </cell>
          <cell r="CR30" t="str">
            <v xml:space="preserve"> Lavie Bio Exec. MGMT</v>
          </cell>
          <cell r="CS30" t="str">
            <v>CEO</v>
          </cell>
          <cell r="CT30" t="str">
            <v xml:space="preserve">גורי </v>
          </cell>
          <cell r="CU30" t="str">
            <v>אורון</v>
          </cell>
          <cell r="CV30">
            <v>23454.46974595117</v>
          </cell>
          <cell r="CW30">
            <v>23454.46974595117</v>
          </cell>
          <cell r="CX30">
            <v>23454.46974595117</v>
          </cell>
          <cell r="CY30">
            <v>54883.041174522601</v>
          </cell>
          <cell r="CZ30">
            <v>23454.46974595117</v>
          </cell>
          <cell r="DA30">
            <v>23454.46974595117</v>
          </cell>
          <cell r="DB30">
            <v>23454.46974595117</v>
          </cell>
          <cell r="DC30">
            <v>23454.46974595117</v>
          </cell>
          <cell r="DD30">
            <v>23454.46974595117</v>
          </cell>
          <cell r="DE30">
            <v>23454.46974595117</v>
          </cell>
          <cell r="DF30">
            <v>23454.46974595117</v>
          </cell>
          <cell r="DG30">
            <v>23454.46974595117</v>
          </cell>
          <cell r="DH30">
            <v>312882.20837998553</v>
          </cell>
        </row>
        <row r="31">
          <cell r="B31">
            <v>607</v>
          </cell>
          <cell r="C31" t="str">
            <v>Finance</v>
          </cell>
          <cell r="P31" t="str">
            <v>Mafat</v>
          </cell>
          <cell r="Q31" t="str">
            <v>P83-Mafat</v>
          </cell>
          <cell r="R31" t="str">
            <v>Lavie Bio</v>
          </cell>
          <cell r="S31" t="str">
            <v>P83</v>
          </cell>
          <cell r="BN31" t="str">
            <v>T299 - Margin CPB</v>
          </cell>
          <cell r="BO31" t="str">
            <v>Margin CPB Fixed cost</v>
          </cell>
          <cell r="BP31" t="str">
            <v>B40/22.P997.422.XXX-T299</v>
          </cell>
          <cell r="BQ31" t="str">
            <v>Fixed - Specific</v>
          </cell>
          <cell r="BR31" t="str">
            <v>422</v>
          </cell>
          <cell r="BS31" t="str">
            <v>B40</v>
          </cell>
          <cell r="BT31" t="str">
            <v>CPB</v>
          </cell>
          <cell r="BU31" t="str">
            <v>Evogene service</v>
          </cell>
          <cell r="BV31" t="str">
            <v>Period</v>
          </cell>
          <cell r="BW31">
            <v>0</v>
          </cell>
          <cell r="CP31" t="str">
            <v>מיכל שורש</v>
          </cell>
          <cell r="CQ31">
            <v>104</v>
          </cell>
          <cell r="CR31" t="str">
            <v>Lavie Bio Research .LTD</v>
          </cell>
          <cell r="CS31" t="str">
            <v>Research leader - bio-insect &amp; stim</v>
          </cell>
          <cell r="CT31" t="str">
            <v>מיכל</v>
          </cell>
          <cell r="CU31" t="str">
            <v>שורש</v>
          </cell>
          <cell r="CV31">
            <v>10330.924138690752</v>
          </cell>
          <cell r="CW31">
            <v>10330.924138690752</v>
          </cell>
          <cell r="CX31">
            <v>10330.924138690752</v>
          </cell>
          <cell r="CY31">
            <v>18016.638424405039</v>
          </cell>
          <cell r="CZ31">
            <v>10330.924138690752</v>
          </cell>
          <cell r="DA31">
            <v>10330.924138690752</v>
          </cell>
          <cell r="DB31">
            <v>10330.924138690752</v>
          </cell>
          <cell r="DC31">
            <v>10330.924138690752</v>
          </cell>
          <cell r="DD31">
            <v>10330.924138690752</v>
          </cell>
          <cell r="DE31">
            <v>10330.924138690752</v>
          </cell>
          <cell r="DF31">
            <v>10330.924138690752</v>
          </cell>
          <cell r="DG31">
            <v>10330.924138690752</v>
          </cell>
          <cell r="DH31">
            <v>131656.80395000332</v>
          </cell>
        </row>
        <row r="32">
          <cell r="B32">
            <v>603</v>
          </cell>
          <cell r="C32" t="str">
            <v>HR</v>
          </cell>
          <cell r="P32" t="str">
            <v>Product-CP</v>
          </cell>
          <cell r="Q32" t="str">
            <v>P264 - Product-CP</v>
          </cell>
          <cell r="R32" t="str">
            <v>Product</v>
          </cell>
          <cell r="S32" t="str">
            <v>P264</v>
          </cell>
          <cell r="BN32" t="str">
            <v>T301 - Green House Controlled</v>
          </cell>
          <cell r="BO32" t="str">
            <v>Green House Controlled Fixed cost  Per annual 50 SQM</v>
          </cell>
          <cell r="BP32" t="str">
            <v>B90/22.P997.425.XXX-T301</v>
          </cell>
          <cell r="BQ32" t="str">
            <v>Annual per unit</v>
          </cell>
          <cell r="BR32" t="str">
            <v>425</v>
          </cell>
          <cell r="BS32" t="str">
            <v>B90</v>
          </cell>
          <cell r="BT32" t="str">
            <v>CPB</v>
          </cell>
          <cell r="BU32" t="str">
            <v>Evogene service</v>
          </cell>
          <cell r="BV32" t="str">
            <v>Period</v>
          </cell>
          <cell r="BW32">
            <v>1250</v>
          </cell>
          <cell r="CP32" t="str">
            <v>שלמה גורן</v>
          </cell>
          <cell r="CQ32">
            <v>104</v>
          </cell>
          <cell r="CR32" t="str">
            <v>Lavie Bio Research .LTD</v>
          </cell>
          <cell r="CS32" t="str">
            <v>Research leader – Bio-Fungi</v>
          </cell>
          <cell r="CT32" t="str">
            <v>שלמה</v>
          </cell>
          <cell r="CU32" t="str">
            <v>גורן</v>
          </cell>
          <cell r="CV32">
            <v>7328.5714285714284</v>
          </cell>
          <cell r="CW32">
            <v>7328.5714285714284</v>
          </cell>
          <cell r="CX32">
            <v>7328.5714285714284</v>
          </cell>
          <cell r="CY32">
            <v>7328.5714285714284</v>
          </cell>
          <cell r="CZ32">
            <v>7328.5714285714284</v>
          </cell>
          <cell r="DA32">
            <v>7328.5714285714284</v>
          </cell>
          <cell r="DB32">
            <v>7328.5714285714284</v>
          </cell>
          <cell r="DC32">
            <v>7328.5714285714284</v>
          </cell>
          <cell r="DD32">
            <v>7328.5714285714284</v>
          </cell>
          <cell r="DE32">
            <v>7328.5714285714284</v>
          </cell>
          <cell r="DF32">
            <v>7328.5714285714284</v>
          </cell>
          <cell r="DG32">
            <v>7328.5714285714284</v>
          </cell>
          <cell r="DH32">
            <v>87942.857142857159</v>
          </cell>
        </row>
        <row r="33">
          <cell r="B33">
            <v>605</v>
          </cell>
          <cell r="C33" t="str">
            <v>IP</v>
          </cell>
          <cell r="P33" t="str">
            <v>Product- MB</v>
          </cell>
          <cell r="Q33" t="str">
            <v>P265 - Product- MB</v>
          </cell>
          <cell r="R33" t="str">
            <v>Product</v>
          </cell>
          <cell r="S33" t="str">
            <v>P265</v>
          </cell>
          <cell r="BN33" t="str">
            <v>T302 - Green House Non-Controlled</v>
          </cell>
          <cell r="BO33" t="str">
            <v>Green House Non-Controlled Fixed cost  Per annual 200 SQM</v>
          </cell>
          <cell r="BP33" t="str">
            <v>B90/22.P997.425.XXX-T302</v>
          </cell>
          <cell r="BQ33" t="str">
            <v>Annual per unit</v>
          </cell>
          <cell r="BR33" t="str">
            <v>425</v>
          </cell>
          <cell r="BS33" t="str">
            <v>B90</v>
          </cell>
          <cell r="BT33" t="str">
            <v>CPB</v>
          </cell>
          <cell r="BU33" t="str">
            <v>Evogene service</v>
          </cell>
          <cell r="BV33" t="str">
            <v>Period</v>
          </cell>
          <cell r="BW33">
            <v>29986.452704274641</v>
          </cell>
          <cell r="CP33" t="str">
            <v>מיכאל יונסקו</v>
          </cell>
          <cell r="CQ33">
            <v>101</v>
          </cell>
          <cell r="CR33" t="str">
            <v xml:space="preserve"> Lavie Bio Exec. MGMT</v>
          </cell>
          <cell r="CS33" t="str">
            <v>VP Research</v>
          </cell>
          <cell r="CT33" t="str">
            <v>מיכאל</v>
          </cell>
          <cell r="CU33" t="str">
            <v>יונסקו</v>
          </cell>
          <cell r="CV33">
            <v>14666.123109809918</v>
          </cell>
          <cell r="CW33">
            <v>14666.123109809918</v>
          </cell>
          <cell r="CX33">
            <v>14666.123109809918</v>
          </cell>
          <cell r="CY33">
            <v>25733.551681238489</v>
          </cell>
          <cell r="CZ33">
            <v>14666.123109809918</v>
          </cell>
          <cell r="DA33">
            <v>14666.123109809918</v>
          </cell>
          <cell r="DB33">
            <v>14666.123109809918</v>
          </cell>
          <cell r="DC33">
            <v>14666.123109809918</v>
          </cell>
          <cell r="DD33">
            <v>14666.123109809918</v>
          </cell>
          <cell r="DE33">
            <v>14666.123109809918</v>
          </cell>
          <cell r="DF33">
            <v>14666.123109809918</v>
          </cell>
          <cell r="DG33">
            <v>14666.123109809918</v>
          </cell>
          <cell r="DH33">
            <v>187060.90588914757</v>
          </cell>
        </row>
        <row r="34">
          <cell r="B34">
            <v>609</v>
          </cell>
          <cell r="C34" t="str">
            <v>IP Part time</v>
          </cell>
          <cell r="P34" t="str">
            <v>Product- GR</v>
          </cell>
          <cell r="Q34" t="str">
            <v>P266 - Product- GR</v>
          </cell>
          <cell r="R34" t="str">
            <v>Product</v>
          </cell>
          <cell r="S34" t="str">
            <v>P266</v>
          </cell>
          <cell r="BN34" t="str">
            <v>T303 - Office utilities</v>
          </cell>
          <cell r="BO34" t="str">
            <v>Office utilities Fixed cost</v>
          </cell>
          <cell r="BP34" t="str">
            <v>B90/22.P997.425.XXX-T303</v>
          </cell>
          <cell r="BQ34" t="str">
            <v>Fixed - Specific</v>
          </cell>
          <cell r="BR34" t="str">
            <v>425</v>
          </cell>
          <cell r="BS34" t="str">
            <v>B90</v>
          </cell>
          <cell r="BT34" t="str">
            <v>Corporate</v>
          </cell>
          <cell r="BU34" t="str">
            <v>Evogene service</v>
          </cell>
          <cell r="BV34" t="str">
            <v>Period</v>
          </cell>
          <cell r="BW34">
            <v>203009.85030490279</v>
          </cell>
          <cell r="CP34" t="str">
            <v>אמיר  ברקוביץ</v>
          </cell>
          <cell r="CQ34">
            <v>101</v>
          </cell>
          <cell r="CR34" t="str">
            <v xml:space="preserve"> Lavie Bio Exec. MGMT</v>
          </cell>
          <cell r="CS34" t="str">
            <v>VP Development</v>
          </cell>
          <cell r="CT34" t="str">
            <v xml:space="preserve">אמיר </v>
          </cell>
          <cell r="CU34" t="str">
            <v>ברקוביץ</v>
          </cell>
          <cell r="CV34">
            <v>14834.22841965119</v>
          </cell>
          <cell r="CW34">
            <v>14834.22841965119</v>
          </cell>
          <cell r="CX34">
            <v>14834.22841965119</v>
          </cell>
          <cell r="CY34">
            <v>25213.324419651188</v>
          </cell>
          <cell r="CZ34">
            <v>14834.22841965119</v>
          </cell>
          <cell r="DA34">
            <v>14834.22841965119</v>
          </cell>
          <cell r="DB34">
            <v>14834.22841965119</v>
          </cell>
          <cell r="DC34">
            <v>14834.22841965119</v>
          </cell>
          <cell r="DD34">
            <v>14834.22841965119</v>
          </cell>
          <cell r="DE34">
            <v>14834.22841965119</v>
          </cell>
          <cell r="DF34">
            <v>14834.22841965119</v>
          </cell>
          <cell r="DG34">
            <v>14834.22841965119</v>
          </cell>
          <cell r="DH34">
            <v>188389.83703581427</v>
          </cell>
        </row>
        <row r="35">
          <cell r="B35">
            <v>606</v>
          </cell>
          <cell r="C35" t="str">
            <v>IR\PR</v>
          </cell>
          <cell r="P35" t="str">
            <v xml:space="preserve">Product- Upkeep GR </v>
          </cell>
          <cell r="Q35" t="str">
            <v xml:space="preserve">P272 - Product- Upkeep GR </v>
          </cell>
          <cell r="R35" t="str">
            <v>Product</v>
          </cell>
          <cell r="S35" t="str">
            <v>P272</v>
          </cell>
          <cell r="BN35" t="str">
            <v>T304 - Labs utilities</v>
          </cell>
          <cell r="BO35" t="str">
            <v>Labs utilities Fixed cost</v>
          </cell>
          <cell r="BP35" t="str">
            <v>B90/22.P997.425.XXX-T304</v>
          </cell>
          <cell r="BQ35" t="str">
            <v>Fixed - Specific</v>
          </cell>
          <cell r="BR35" t="str">
            <v>425</v>
          </cell>
          <cell r="BS35" t="str">
            <v>B90</v>
          </cell>
          <cell r="BT35" t="str">
            <v>Corporate</v>
          </cell>
          <cell r="BU35" t="str">
            <v>Evogene service</v>
          </cell>
          <cell r="BV35" t="str">
            <v>Period</v>
          </cell>
          <cell r="BW35">
            <v>151933.30586314297</v>
          </cell>
          <cell r="CP35" t="str">
            <v>יוסי סינגר</v>
          </cell>
          <cell r="CQ35">
            <v>105</v>
          </cell>
          <cell r="CR35" t="str">
            <v>Lavie Bio Development .LTD</v>
          </cell>
          <cell r="CS35" t="str">
            <v>Head of fermentation</v>
          </cell>
          <cell r="CT35" t="str">
            <v>יוסי</v>
          </cell>
          <cell r="CU35" t="str">
            <v>סינגר</v>
          </cell>
          <cell r="CV35">
            <v>11471.60965133364</v>
          </cell>
          <cell r="CW35">
            <v>11471.60965133364</v>
          </cell>
          <cell r="CX35">
            <v>11471.60965133364</v>
          </cell>
          <cell r="CY35">
            <v>15775.60965133364</v>
          </cell>
          <cell r="CZ35">
            <v>11471.60965133364</v>
          </cell>
          <cell r="DA35">
            <v>11471.60965133364</v>
          </cell>
          <cell r="DB35">
            <v>11471.60965133364</v>
          </cell>
          <cell r="DC35">
            <v>11471.60965133364</v>
          </cell>
          <cell r="DD35">
            <v>11471.60965133364</v>
          </cell>
          <cell r="DE35">
            <v>11471.60965133364</v>
          </cell>
          <cell r="DF35">
            <v>11471.60965133364</v>
          </cell>
          <cell r="DG35">
            <v>11471.60965133364</v>
          </cell>
          <cell r="DH35">
            <v>141963.31581600368</v>
          </cell>
        </row>
        <row r="36">
          <cell r="B36">
            <v>421</v>
          </cell>
          <cell r="C36" t="str">
            <v>IT</v>
          </cell>
          <cell r="P36" t="str">
            <v xml:space="preserve">Product- Upkeep MB </v>
          </cell>
          <cell r="Q36" t="str">
            <v xml:space="preserve">P273 - Product- Upkeep MB </v>
          </cell>
          <cell r="R36" t="str">
            <v>Product</v>
          </cell>
          <cell r="S36" t="str">
            <v>P273</v>
          </cell>
          <cell r="BN36" t="str">
            <v>T399 - Margin Operation</v>
          </cell>
          <cell r="BO36" t="str">
            <v>Margin Operation Fixed cost</v>
          </cell>
          <cell r="BP36" t="str">
            <v>B90/22.P997.425.XXX-T399</v>
          </cell>
          <cell r="BQ36" t="str">
            <v>Fixed - Specific</v>
          </cell>
          <cell r="BR36" t="str">
            <v>425</v>
          </cell>
          <cell r="BS36" t="str">
            <v>B90</v>
          </cell>
          <cell r="BT36" t="str">
            <v>Corporate</v>
          </cell>
          <cell r="BU36" t="str">
            <v>Evogene service</v>
          </cell>
          <cell r="BV36" t="str">
            <v>Period</v>
          </cell>
          <cell r="BW36">
            <v>0</v>
          </cell>
          <cell r="CP36" t="str">
            <v>נועה  שמיר</v>
          </cell>
          <cell r="CQ36">
            <v>104</v>
          </cell>
          <cell r="CR36" t="str">
            <v>Lavie Bio Research .LTD</v>
          </cell>
          <cell r="CS36" t="str">
            <v>Biosystem Development Leader</v>
          </cell>
          <cell r="CT36" t="str">
            <v xml:space="preserve">נועה </v>
          </cell>
          <cell r="CU36" t="str">
            <v>שמיר</v>
          </cell>
          <cell r="CV36">
            <v>6010.683193559672</v>
          </cell>
          <cell r="CW36">
            <v>6010.683193559672</v>
          </cell>
          <cell r="CX36">
            <v>6010.683193559672</v>
          </cell>
          <cell r="CY36">
            <v>8085.8260507025288</v>
          </cell>
          <cell r="CZ36">
            <v>6010.683193559672</v>
          </cell>
          <cell r="DA36">
            <v>6010.683193559672</v>
          </cell>
          <cell r="DB36">
            <v>6010.683193559672</v>
          </cell>
          <cell r="DC36">
            <v>6010.683193559672</v>
          </cell>
          <cell r="DD36">
            <v>6010.683193559672</v>
          </cell>
          <cell r="DE36">
            <v>6010.683193559672</v>
          </cell>
          <cell r="DF36">
            <v>6010.683193559672</v>
          </cell>
          <cell r="DG36">
            <v>6010.683193559672</v>
          </cell>
          <cell r="DH36">
            <v>74203.341179858922</v>
          </cell>
        </row>
        <row r="37">
          <cell r="B37">
            <v>102</v>
          </cell>
          <cell r="C37" t="str">
            <v>Lavie Bio BD .LTD</v>
          </cell>
          <cell r="P37" t="str">
            <v xml:space="preserve">Product- Upkeep CP </v>
          </cell>
          <cell r="Q37" t="str">
            <v xml:space="preserve">P274 - Product- Upkeep CP </v>
          </cell>
          <cell r="R37" t="str">
            <v>Product</v>
          </cell>
          <cell r="S37" t="str">
            <v>P274</v>
          </cell>
          <cell r="BN37" t="str">
            <v>T901 - Finance &amp; Purchasing &amp;D&amp;O</v>
          </cell>
          <cell r="BP37" t="str">
            <v>B90/62.P997.607.XXX-T901</v>
          </cell>
          <cell r="BQ37" t="str">
            <v>Per 1 organic FTE</v>
          </cell>
          <cell r="BR37" t="str">
            <v>607</v>
          </cell>
          <cell r="BS37" t="str">
            <v>B90</v>
          </cell>
          <cell r="BT37" t="str">
            <v>Corporate</v>
          </cell>
          <cell r="BU37" t="str">
            <v>Evogene service</v>
          </cell>
          <cell r="BV37" t="str">
            <v>Period</v>
          </cell>
          <cell r="BW37">
            <v>199830.88235294117</v>
          </cell>
          <cell r="CP37" t="str">
            <v>לריסה פטליס</v>
          </cell>
          <cell r="CQ37">
            <v>132</v>
          </cell>
          <cell r="CR37" t="str">
            <v>Lavie Bio Micro. Lab .LTD</v>
          </cell>
          <cell r="CS37" t="str">
            <v>Microbial Lab Technician</v>
          </cell>
          <cell r="CT37" t="str">
            <v>לריסה</v>
          </cell>
          <cell r="CU37" t="str">
            <v>פטליס</v>
          </cell>
          <cell r="CV37">
            <v>5123.6506689406015</v>
          </cell>
          <cell r="CW37">
            <v>5123.6506689406015</v>
          </cell>
          <cell r="CX37">
            <v>5123.6506689406015</v>
          </cell>
          <cell r="CY37">
            <v>6891.3649546548868</v>
          </cell>
          <cell r="CZ37">
            <v>5123.6506689406015</v>
          </cell>
          <cell r="DA37">
            <v>5123.6506689406015</v>
          </cell>
          <cell r="DB37">
            <v>5123.6506689406015</v>
          </cell>
          <cell r="DC37">
            <v>5123.6506689406015</v>
          </cell>
          <cell r="DD37">
            <v>5123.6506689406015</v>
          </cell>
          <cell r="DE37">
            <v>5123.6506689406015</v>
          </cell>
          <cell r="DF37">
            <v>5123.6506689406015</v>
          </cell>
          <cell r="DG37">
            <v>5123.6506689406015</v>
          </cell>
          <cell r="DH37">
            <v>63251.5223130015</v>
          </cell>
        </row>
        <row r="38">
          <cell r="B38">
            <v>105</v>
          </cell>
          <cell r="C38" t="str">
            <v>Lavie Bio Development .LTD</v>
          </cell>
          <cell r="P38" t="str">
            <v>CrisprIL_WP1</v>
          </cell>
          <cell r="Q38" t="str">
            <v>P277 - CrisprIL_WP1</v>
          </cell>
          <cell r="R38" t="str">
            <v>Product</v>
          </cell>
          <cell r="S38" t="str">
            <v>P277</v>
          </cell>
          <cell r="BN38" t="str">
            <v>T902 - HR</v>
          </cell>
          <cell r="BP38" t="str">
            <v>B90/62.P997.603.XXX-T902</v>
          </cell>
          <cell r="BQ38" t="str">
            <v>Per 1 organic FTE</v>
          </cell>
          <cell r="BR38" t="str">
            <v>603</v>
          </cell>
          <cell r="BS38" t="str">
            <v>B90</v>
          </cell>
          <cell r="BT38" t="str">
            <v>Corporate</v>
          </cell>
          <cell r="BU38" t="str">
            <v>Evogene service</v>
          </cell>
          <cell r="BV38" t="str">
            <v>Period</v>
          </cell>
          <cell r="BW38">
            <v>112416.66666666666</v>
          </cell>
          <cell r="CP38" t="str">
            <v>מריה צ'סלב</v>
          </cell>
          <cell r="CQ38">
            <v>104</v>
          </cell>
          <cell r="CR38" t="str">
            <v>Lavie Bio Research .LTD</v>
          </cell>
          <cell r="CS38" t="str">
            <v>Computational lead</v>
          </cell>
          <cell r="CT38" t="str">
            <v>מריה</v>
          </cell>
          <cell r="CU38" t="str">
            <v>צ'סלב</v>
          </cell>
          <cell r="CV38">
            <v>8732.4807351668969</v>
          </cell>
          <cell r="CW38">
            <v>8732.4807351668969</v>
          </cell>
          <cell r="CX38">
            <v>8732.4807351668969</v>
          </cell>
          <cell r="CY38">
            <v>11960.480735166897</v>
          </cell>
          <cell r="CZ38">
            <v>8732.4807351668969</v>
          </cell>
          <cell r="DA38">
            <v>8732.4807351668969</v>
          </cell>
          <cell r="DB38">
            <v>8732.4807351668969</v>
          </cell>
          <cell r="DC38">
            <v>8732.4807351668969</v>
          </cell>
          <cell r="DD38">
            <v>8732.4807351668969</v>
          </cell>
          <cell r="DE38">
            <v>8732.4807351668969</v>
          </cell>
          <cell r="DF38">
            <v>8732.4807351668969</v>
          </cell>
          <cell r="DG38">
            <v>8732.4807351668969</v>
          </cell>
          <cell r="DH38">
            <v>108017.76882200279</v>
          </cell>
        </row>
        <row r="39">
          <cell r="B39">
            <v>101</v>
          </cell>
          <cell r="C39" t="str">
            <v xml:space="preserve"> Lavie Bio Exec. MGMT</v>
          </cell>
          <cell r="P39" t="str">
            <v>CrisprIL_WP4</v>
          </cell>
          <cell r="Q39" t="str">
            <v>P278 - CrisprIL_WP4</v>
          </cell>
          <cell r="R39" t="str">
            <v>Product</v>
          </cell>
          <cell r="S39" t="str">
            <v>P278</v>
          </cell>
          <cell r="BP39" t="str">
            <v>B90/22.P997.608.XXX-T903</v>
          </cell>
          <cell r="BQ39" t="str">
            <v>Per 1 organic FTE</v>
          </cell>
          <cell r="BR39" t="str">
            <v>608</v>
          </cell>
          <cell r="BS39" t="str">
            <v>B90</v>
          </cell>
          <cell r="BT39" t="str">
            <v>Corporate</v>
          </cell>
          <cell r="BU39" t="str">
            <v>Evogene service</v>
          </cell>
          <cell r="BV39" t="str">
            <v>Period</v>
          </cell>
          <cell r="CP39" t="str">
            <v>ציפי   ראשית עיני</v>
          </cell>
          <cell r="CQ39">
            <v>132</v>
          </cell>
          <cell r="CR39" t="str">
            <v>Lavie Bio Micro. Lab .LTD</v>
          </cell>
          <cell r="CS39" t="str">
            <v xml:space="preserve">Microbial Lab Manager </v>
          </cell>
          <cell r="CT39" t="str">
            <v xml:space="preserve">ציפי  </v>
          </cell>
          <cell r="CU39" t="str">
            <v>ראשית עיני</v>
          </cell>
          <cell r="CV39">
            <v>8502.4228900002199</v>
          </cell>
          <cell r="CW39">
            <v>8502.4228900002199</v>
          </cell>
          <cell r="CX39">
            <v>8502.4228900002199</v>
          </cell>
          <cell r="CY39">
            <v>14650.994318571649</v>
          </cell>
          <cell r="CZ39">
            <v>8502.4228900002199</v>
          </cell>
          <cell r="DA39">
            <v>8502.4228900002199</v>
          </cell>
          <cell r="DB39">
            <v>8502.4228900002199</v>
          </cell>
          <cell r="DC39">
            <v>8502.4228900002199</v>
          </cell>
          <cell r="DD39">
            <v>8502.4228900002199</v>
          </cell>
          <cell r="DE39">
            <v>8502.4228900002199</v>
          </cell>
          <cell r="DF39">
            <v>8502.4228900002199</v>
          </cell>
          <cell r="DG39">
            <v>8502.4228900002199</v>
          </cell>
          <cell r="DH39">
            <v>108177.64610857406</v>
          </cell>
        </row>
        <row r="40">
          <cell r="B40">
            <v>121</v>
          </cell>
          <cell r="C40" t="str">
            <v>Lavie Bio INC</v>
          </cell>
          <cell r="P40" t="str">
            <v>CrisprIL_Prediction</v>
          </cell>
          <cell r="Q40" t="str">
            <v>P280 - CrisprIL_Prediction</v>
          </cell>
          <cell r="R40" t="str">
            <v>Product</v>
          </cell>
          <cell r="S40" t="str">
            <v>P280</v>
          </cell>
          <cell r="BN40" t="str">
            <v>T904 - IT</v>
          </cell>
          <cell r="BP40" t="str">
            <v>B40/22.P97.421.XXX-T904</v>
          </cell>
          <cell r="BQ40" t="str">
            <v>Per 1 organic FTE</v>
          </cell>
          <cell r="BR40" t="str">
            <v>421</v>
          </cell>
          <cell r="BS40" t="str">
            <v>B40</v>
          </cell>
          <cell r="BT40" t="str">
            <v>CPB</v>
          </cell>
          <cell r="BU40" t="str">
            <v>Evogene service</v>
          </cell>
          <cell r="BV40" t="str">
            <v>Period</v>
          </cell>
          <cell r="CP40" t="str">
            <v>אלמוג קסטנבאום</v>
          </cell>
          <cell r="CQ40">
            <v>105</v>
          </cell>
          <cell r="CR40" t="str">
            <v>Lavie Bio Development .LTD</v>
          </cell>
          <cell r="CS40" t="str">
            <v>Fermentation Technician</v>
          </cell>
          <cell r="CT40" t="str">
            <v>אלמוג</v>
          </cell>
          <cell r="CU40" t="str">
            <v>קסטנבאום</v>
          </cell>
          <cell r="CV40">
            <v>4538.7726897620141</v>
          </cell>
          <cell r="CW40">
            <v>4538.7726897620141</v>
          </cell>
          <cell r="CX40">
            <v>4538.7726897620141</v>
          </cell>
          <cell r="CY40">
            <v>6075.915546904871</v>
          </cell>
          <cell r="CZ40">
            <v>4538.7726897620141</v>
          </cell>
          <cell r="DA40">
            <v>4538.7726897620141</v>
          </cell>
          <cell r="DB40">
            <v>4538.7726897620141</v>
          </cell>
          <cell r="DC40">
            <v>4538.7726897620141</v>
          </cell>
          <cell r="DD40">
            <v>4538.7726897620141</v>
          </cell>
          <cell r="DE40">
            <v>4538.7726897620141</v>
          </cell>
          <cell r="DF40">
            <v>4538.7726897620141</v>
          </cell>
          <cell r="DG40">
            <v>4538.7726897620141</v>
          </cell>
          <cell r="DH40">
            <v>56002.415134287039</v>
          </cell>
        </row>
        <row r="41">
          <cell r="B41">
            <v>123</v>
          </cell>
          <cell r="C41" t="str">
            <v>Lavie Bio INC Admin</v>
          </cell>
          <cell r="P41" t="str">
            <v>Product general</v>
          </cell>
          <cell r="Q41" t="str">
            <v>P282-Product general</v>
          </cell>
          <cell r="R41" t="str">
            <v>Product</v>
          </cell>
          <cell r="S41" t="str">
            <v>P282</v>
          </cell>
          <cell r="BN41" t="str">
            <v>T905 - IP</v>
          </cell>
          <cell r="BP41" t="str">
            <v>B90/22.P997.609.XXX-T905</v>
          </cell>
          <cell r="BQ41" t="str">
            <v>Per 1 organic FTE</v>
          </cell>
          <cell r="BR41" t="str">
            <v>609</v>
          </cell>
          <cell r="BS41" t="str">
            <v>B90</v>
          </cell>
          <cell r="BT41" t="str">
            <v>Corporate</v>
          </cell>
          <cell r="BU41" t="str">
            <v>Evogene service</v>
          </cell>
          <cell r="BV41" t="str">
            <v>Period</v>
          </cell>
          <cell r="BW41">
            <v>492.81512513468635</v>
          </cell>
          <cell r="CP41" t="str">
            <v>קרן  שמש</v>
          </cell>
          <cell r="CQ41">
            <v>104</v>
          </cell>
          <cell r="CR41" t="str">
            <v>Lavie Bio Research .LTD</v>
          </cell>
          <cell r="CS41" t="str">
            <v>Optimization Technologies Research Leader</v>
          </cell>
          <cell r="CT41" t="str">
            <v xml:space="preserve">קרן </v>
          </cell>
          <cell r="CU41" t="str">
            <v>שמש</v>
          </cell>
          <cell r="CV41">
            <v>7767.6119965359185</v>
          </cell>
          <cell r="CW41">
            <v>7767.6119965359185</v>
          </cell>
          <cell r="CX41">
            <v>7767.6119965359185</v>
          </cell>
          <cell r="CY41">
            <v>13455.04056796449</v>
          </cell>
          <cell r="CZ41">
            <v>7767.6119965359185</v>
          </cell>
          <cell r="DA41">
            <v>7767.6119965359185</v>
          </cell>
          <cell r="DB41">
            <v>7767.6119965359185</v>
          </cell>
          <cell r="DC41">
            <v>7767.6119965359185</v>
          </cell>
          <cell r="DD41">
            <v>7767.6119965359185</v>
          </cell>
          <cell r="DE41">
            <v>7767.6119965359185</v>
          </cell>
          <cell r="DF41">
            <v>7767.6119965359185</v>
          </cell>
          <cell r="DG41">
            <v>7767.6119965359185</v>
          </cell>
          <cell r="DH41">
            <v>98898.77252985962</v>
          </cell>
        </row>
        <row r="42">
          <cell r="B42">
            <v>122</v>
          </cell>
          <cell r="C42" t="str">
            <v>Lavie Bio BD .INC</v>
          </cell>
          <cell r="P42" t="str">
            <v>Services</v>
          </cell>
          <cell r="Q42" t="str">
            <v>P997 - Services</v>
          </cell>
          <cell r="S42" t="str">
            <v>P997</v>
          </cell>
          <cell r="BP42" t="str">
            <v>B90/62.P997.607.XXX-T911</v>
          </cell>
          <cell r="BQ42" t="str">
            <v>Per Company</v>
          </cell>
          <cell r="BR42" t="str">
            <v>607</v>
          </cell>
          <cell r="BS42" t="str">
            <v>B90</v>
          </cell>
          <cell r="BT42" t="str">
            <v>Corporate</v>
          </cell>
          <cell r="BU42" t="str">
            <v>Evogene service</v>
          </cell>
          <cell r="BV42" t="str">
            <v>Period</v>
          </cell>
          <cell r="CP42" t="str">
            <v>ענבל  אשכנזי</v>
          </cell>
          <cell r="CQ42">
            <v>104</v>
          </cell>
          <cell r="CR42" t="str">
            <v>Lavie Bio Research .LTD</v>
          </cell>
          <cell r="CS42" t="str">
            <v xml:space="preserve">Research Assistant </v>
          </cell>
          <cell r="CT42" t="str">
            <v xml:space="preserve">ענבל </v>
          </cell>
          <cell r="CU42" t="str">
            <v>אשכנזי</v>
          </cell>
          <cell r="CV42">
            <v>5816.5451249882444</v>
          </cell>
          <cell r="CW42">
            <v>5816.5451249882444</v>
          </cell>
          <cell r="CX42">
            <v>5816.5451249882444</v>
          </cell>
          <cell r="CY42">
            <v>7891.6879821311013</v>
          </cell>
          <cell r="CZ42">
            <v>5816.5451249882444</v>
          </cell>
          <cell r="DA42">
            <v>5816.5451249882444</v>
          </cell>
          <cell r="DB42">
            <v>5816.5451249882444</v>
          </cell>
          <cell r="DC42">
            <v>5816.5451249882444</v>
          </cell>
          <cell r="DD42">
            <v>5816.5451249882444</v>
          </cell>
          <cell r="DE42">
            <v>5816.5451249882444</v>
          </cell>
          <cell r="DF42">
            <v>5816.5451249882444</v>
          </cell>
          <cell r="DG42">
            <v>5816.5451249882444</v>
          </cell>
          <cell r="DH42">
            <v>71873.684357001795</v>
          </cell>
        </row>
        <row r="43">
          <cell r="B43">
            <v>120</v>
          </cell>
          <cell r="C43" t="str">
            <v>Lavie Bio Management .INC</v>
          </cell>
          <cell r="P43" t="str">
            <v>Salaries</v>
          </cell>
          <cell r="Q43" t="str">
            <v>P998 - Salaries</v>
          </cell>
          <cell r="S43" t="str">
            <v>P998</v>
          </cell>
          <cell r="BN43" t="str">
            <v>T912 - IRPR</v>
          </cell>
          <cell r="BP43" t="str">
            <v>B90/62.P997.606.XXX-T912</v>
          </cell>
          <cell r="BQ43" t="str">
            <v>Fixed - Specific</v>
          </cell>
          <cell r="BR43" t="str">
            <v>606</v>
          </cell>
          <cell r="BS43" t="str">
            <v>B90</v>
          </cell>
          <cell r="BT43" t="str">
            <v>Corporate</v>
          </cell>
          <cell r="BU43" t="str">
            <v>Evogene service</v>
          </cell>
          <cell r="BV43" t="str">
            <v>Period</v>
          </cell>
          <cell r="BW43">
            <v>10500</v>
          </cell>
          <cell r="CP43" t="str">
            <v>נועה רוט</v>
          </cell>
          <cell r="CQ43">
            <v>132</v>
          </cell>
          <cell r="CR43" t="str">
            <v>Lavie Bio Micro. Lab .LTD</v>
          </cell>
          <cell r="CS43" t="str">
            <v>Microbial Lab Technician</v>
          </cell>
          <cell r="CT43" t="str">
            <v>נועה</v>
          </cell>
          <cell r="CU43" t="str">
            <v>רוט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</row>
        <row r="44">
          <cell r="B44">
            <v>108</v>
          </cell>
          <cell r="C44" t="str">
            <v>Lavie Bio Micro. Lab</v>
          </cell>
          <cell r="P44" t="str">
            <v>General</v>
          </cell>
          <cell r="Q44" t="str">
            <v>P999 - General</v>
          </cell>
          <cell r="S44" t="str">
            <v>P999</v>
          </cell>
          <cell r="BN44" t="str">
            <v>T914 - Marcom</v>
          </cell>
          <cell r="BW44">
            <v>14000</v>
          </cell>
          <cell r="CP44" t="str">
            <v>קובי  סמואל</v>
          </cell>
          <cell r="CQ44">
            <v>105</v>
          </cell>
          <cell r="CR44" t="str">
            <v>Lavie Bio Development .LTD</v>
          </cell>
          <cell r="CS44" t="str">
            <v>Fermentation &amp; Formulation Technician</v>
          </cell>
          <cell r="CT44" t="str">
            <v xml:space="preserve">קובי </v>
          </cell>
          <cell r="CU44" t="str">
            <v>סמואל</v>
          </cell>
          <cell r="CV44">
            <v>5005.2937432263161</v>
          </cell>
          <cell r="CW44">
            <v>5005.2937432263161</v>
          </cell>
          <cell r="CX44">
            <v>5005.2937432263161</v>
          </cell>
          <cell r="CY44">
            <v>6773.0080289406023</v>
          </cell>
          <cell r="CZ44">
            <v>5005.2937432263161</v>
          </cell>
          <cell r="DA44">
            <v>5005.2937432263161</v>
          </cell>
          <cell r="DB44">
            <v>5005.2937432263161</v>
          </cell>
          <cell r="DC44">
            <v>5005.2937432263161</v>
          </cell>
          <cell r="DD44">
            <v>5005.2937432263161</v>
          </cell>
          <cell r="DE44">
            <v>5005.2937432263161</v>
          </cell>
          <cell r="DF44">
            <v>5005.2937432263161</v>
          </cell>
          <cell r="DG44">
            <v>5005.2937432263161</v>
          </cell>
          <cell r="DH44">
            <v>61831.239204430065</v>
          </cell>
        </row>
        <row r="45">
          <cell r="B45">
            <v>103</v>
          </cell>
          <cell r="C45" t="str">
            <v>Lavie Bio PM</v>
          </cell>
          <cell r="BN45" t="str">
            <v>T913 - Legal</v>
          </cell>
          <cell r="BP45" t="str">
            <v>B90/62.P997.604.XXX-T913</v>
          </cell>
          <cell r="BQ45" t="str">
            <v>Fixed - Specific</v>
          </cell>
          <cell r="BR45" t="str">
            <v>604</v>
          </cell>
          <cell r="BS45" t="str">
            <v>B90</v>
          </cell>
          <cell r="BT45" t="str">
            <v>Corporate</v>
          </cell>
          <cell r="BU45" t="str">
            <v>Evogene service</v>
          </cell>
          <cell r="BV45" t="str">
            <v>Period</v>
          </cell>
          <cell r="BW45">
            <v>30000</v>
          </cell>
          <cell r="CP45" t="str">
            <v>עדיאל  אשטמקר</v>
          </cell>
          <cell r="CQ45">
            <v>104</v>
          </cell>
          <cell r="CR45" t="str">
            <v>Lavie Bio Research .LTD</v>
          </cell>
          <cell r="CS45" t="str">
            <v>Research Assistant</v>
          </cell>
          <cell r="CT45" t="str">
            <v xml:space="preserve">עדיאל </v>
          </cell>
          <cell r="CU45" t="str">
            <v>אשטמקר</v>
          </cell>
          <cell r="CV45">
            <v>5184.8058086667979</v>
          </cell>
          <cell r="CW45">
            <v>5184.8058086667979</v>
          </cell>
          <cell r="CX45">
            <v>5184.8058086667979</v>
          </cell>
          <cell r="CY45">
            <v>0</v>
          </cell>
          <cell r="CZ45">
            <v>0</v>
          </cell>
          <cell r="DA45">
            <v>0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>
            <v>15554.417426000393</v>
          </cell>
        </row>
        <row r="46">
          <cell r="B46">
            <v>109</v>
          </cell>
          <cell r="C46" t="str">
            <v xml:space="preserve">Lavie Bio Phyto. Lab </v>
          </cell>
          <cell r="BN46" t="str">
            <v>T999 - Margin Corporate</v>
          </cell>
          <cell r="BO46" t="str">
            <v>Margin Corporate Fixed cost</v>
          </cell>
          <cell r="BP46" t="str">
            <v>B90/62.P997.607.XXX-T999</v>
          </cell>
          <cell r="BQ46" t="str">
            <v>Fixed - Specific</v>
          </cell>
          <cell r="BR46" t="str">
            <v>607</v>
          </cell>
          <cell r="BS46" t="str">
            <v>B90</v>
          </cell>
          <cell r="BT46" t="str">
            <v>Corporate</v>
          </cell>
          <cell r="BU46" t="str">
            <v>Evogene service</v>
          </cell>
          <cell r="BV46" t="str">
            <v>Period</v>
          </cell>
          <cell r="BW46">
            <v>0</v>
          </cell>
          <cell r="CP46" t="str">
            <v>דור קסטכר</v>
          </cell>
          <cell r="CQ46">
            <v>102</v>
          </cell>
          <cell r="CR46" t="str">
            <v>Lavie Bio BD .LTD</v>
          </cell>
          <cell r="CS46" t="str">
            <v>VP of business Development</v>
          </cell>
          <cell r="CT46" t="str">
            <v>דור</v>
          </cell>
          <cell r="CU46" t="str">
            <v>קסטכר</v>
          </cell>
          <cell r="CV46">
            <v>14571.613418381345</v>
          </cell>
          <cell r="CW46">
            <v>14571.613418381345</v>
          </cell>
          <cell r="CX46">
            <v>14571.613418381345</v>
          </cell>
          <cell r="CY46">
            <v>25639.041989809917</v>
          </cell>
          <cell r="CZ46">
            <v>14571.613418381345</v>
          </cell>
          <cell r="DA46">
            <v>14571.613418381345</v>
          </cell>
          <cell r="DB46">
            <v>14571.613418381345</v>
          </cell>
          <cell r="DC46">
            <v>14571.613418381345</v>
          </cell>
          <cell r="DD46">
            <v>14571.613418381345</v>
          </cell>
          <cell r="DE46">
            <v>14571.613418381345</v>
          </cell>
          <cell r="DF46">
            <v>14571.613418381345</v>
          </cell>
          <cell r="DG46">
            <v>14571.613418381345</v>
          </cell>
          <cell r="DH46">
            <v>185926.7895920047</v>
          </cell>
        </row>
        <row r="47">
          <cell r="B47">
            <v>107</v>
          </cell>
          <cell r="C47" t="str">
            <v>Lavie Bio RD MNG</v>
          </cell>
          <cell r="BN47" t="str">
            <v>E998 - Revenue+Grant</v>
          </cell>
          <cell r="BT47" t="str">
            <v>Revenue+Grant</v>
          </cell>
          <cell r="BU47" t="str">
            <v>External</v>
          </cell>
          <cell r="BW47">
            <v>0</v>
          </cell>
          <cell r="CP47" t="str">
            <v>שרון  ברזין</v>
          </cell>
          <cell r="CQ47">
            <v>132</v>
          </cell>
          <cell r="CR47" t="str">
            <v>Lavie Bio Micro. Lab .LTD</v>
          </cell>
          <cell r="CS47" t="str">
            <v>Lab Technician</v>
          </cell>
          <cell r="CT47" t="str">
            <v xml:space="preserve">שרון </v>
          </cell>
          <cell r="CU47" t="str">
            <v>ברזין</v>
          </cell>
          <cell r="CV47">
            <v>3129.1848301131695</v>
          </cell>
          <cell r="CW47">
            <v>3129.1848301131695</v>
          </cell>
          <cell r="CX47">
            <v>3129.1848301131695</v>
          </cell>
          <cell r="CY47">
            <v>4166.7562586845979</v>
          </cell>
          <cell r="CZ47">
            <v>3129.1848301131695</v>
          </cell>
          <cell r="DA47">
            <v>3129.1848301131695</v>
          </cell>
          <cell r="DB47">
            <v>3129.1848301131695</v>
          </cell>
          <cell r="DC47">
            <v>3129.1848301131695</v>
          </cell>
          <cell r="DD47">
            <v>3129.1848301131695</v>
          </cell>
          <cell r="DE47">
            <v>3129.1848301131695</v>
          </cell>
          <cell r="DF47">
            <v>3129.1848301131695</v>
          </cell>
          <cell r="DG47">
            <v>3129.1848301131695</v>
          </cell>
          <cell r="DH47">
            <v>38587.789389929458</v>
          </cell>
        </row>
        <row r="48">
          <cell r="B48">
            <v>104</v>
          </cell>
          <cell r="C48" t="str">
            <v>Lavie Bio Research .LTD</v>
          </cell>
          <cell r="CP48" t="str">
            <v>לימור וייס</v>
          </cell>
          <cell r="CQ48">
            <v>103</v>
          </cell>
          <cell r="CR48" t="str">
            <v>Lavie Bio PM</v>
          </cell>
          <cell r="CS48" t="str">
            <v>PM &amp; Field trials leader</v>
          </cell>
          <cell r="CT48" t="str">
            <v>לימור</v>
          </cell>
          <cell r="CU48" t="str">
            <v>וייס</v>
          </cell>
          <cell r="CV48">
            <v>6391.7452527382602</v>
          </cell>
          <cell r="CW48">
            <v>6391.7452527382602</v>
          </cell>
          <cell r="CX48">
            <v>6391.7452527382602</v>
          </cell>
          <cell r="CY48">
            <v>8697.4595384525455</v>
          </cell>
          <cell r="CZ48">
            <v>6391.7452527382602</v>
          </cell>
          <cell r="DA48">
            <v>6391.7452527382602</v>
          </cell>
          <cell r="DB48">
            <v>6391.7452527382602</v>
          </cell>
          <cell r="DC48">
            <v>6391.7452527382602</v>
          </cell>
          <cell r="DD48">
            <v>6391.7452527382602</v>
          </cell>
          <cell r="DE48">
            <v>6391.7452527382602</v>
          </cell>
          <cell r="DF48">
            <v>6391.7452527382602</v>
          </cell>
          <cell r="DG48">
            <v>6391.7452527382602</v>
          </cell>
          <cell r="DH48">
            <v>79006.657318573416</v>
          </cell>
        </row>
        <row r="49">
          <cell r="B49">
            <v>106</v>
          </cell>
          <cell r="C49" t="str">
            <v>Lavie Bio Systems</v>
          </cell>
          <cell r="CP49" t="str">
            <v>אסנת אייל</v>
          </cell>
          <cell r="CQ49">
            <v>104</v>
          </cell>
          <cell r="CR49" t="str">
            <v>Lavie Bio Research .LTD</v>
          </cell>
          <cell r="CS49" t="str">
            <v>Synthetic Biologist leader</v>
          </cell>
          <cell r="CT49" t="str">
            <v>אסנת</v>
          </cell>
          <cell r="CU49" t="str">
            <v>אייל</v>
          </cell>
          <cell r="CV49">
            <v>7543.6795768097209</v>
          </cell>
          <cell r="CW49">
            <v>7543.6795768097209</v>
          </cell>
          <cell r="CX49">
            <v>7543.6795768097209</v>
          </cell>
          <cell r="CY49">
            <v>0</v>
          </cell>
          <cell r="CZ49">
            <v>0</v>
          </cell>
          <cell r="DA49">
            <v>0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H49">
            <v>22631.038730429162</v>
          </cell>
        </row>
        <row r="50">
          <cell r="B50">
            <v>604</v>
          </cell>
          <cell r="C50" t="str">
            <v>Legal</v>
          </cell>
          <cell r="CP50" t="str">
            <v>טל  אוליאל</v>
          </cell>
          <cell r="CQ50">
            <v>132</v>
          </cell>
          <cell r="CR50" t="str">
            <v>Lavie Bio Micro. Lab .LTD</v>
          </cell>
          <cell r="CS50" t="str">
            <v xml:space="preserve">Hourly Assistant </v>
          </cell>
          <cell r="CT50" t="str">
            <v xml:space="preserve">טל </v>
          </cell>
          <cell r="CU50" t="str">
            <v>אוליאל</v>
          </cell>
          <cell r="CV50">
            <v>1714.2857142857142</v>
          </cell>
          <cell r="CW50">
            <v>1714.2857142857142</v>
          </cell>
          <cell r="CX50">
            <v>1714.2857142857142</v>
          </cell>
          <cell r="CY50">
            <v>1714.2857142857142</v>
          </cell>
          <cell r="CZ50">
            <v>1714.2857142857142</v>
          </cell>
          <cell r="DA50">
            <v>1714.2857142857142</v>
          </cell>
          <cell r="DB50">
            <v>1714.2857142857142</v>
          </cell>
          <cell r="DC50">
            <v>1714.2857142857142</v>
          </cell>
          <cell r="DD50">
            <v>1714.2857142857142</v>
          </cell>
          <cell r="DE50">
            <v>1714.2857142857142</v>
          </cell>
          <cell r="DF50">
            <v>1714.2857142857142</v>
          </cell>
          <cell r="DG50">
            <v>1714.2857142857142</v>
          </cell>
          <cell r="DH50">
            <v>20571.428571428569</v>
          </cell>
        </row>
        <row r="51">
          <cell r="B51">
            <v>413</v>
          </cell>
          <cell r="C51" t="str">
            <v>Molecular Lab</v>
          </cell>
          <cell r="CP51" t="str">
            <v>ויסוצקי חן</v>
          </cell>
          <cell r="CQ51">
            <v>132</v>
          </cell>
          <cell r="CR51" t="str">
            <v>Lavie Bio Micro. Lab .LTD</v>
          </cell>
          <cell r="CS51" t="str">
            <v xml:space="preserve">Hourly Assistant </v>
          </cell>
          <cell r="CT51" t="str">
            <v>ויסוצקי</v>
          </cell>
          <cell r="CU51" t="str">
            <v>חן</v>
          </cell>
          <cell r="CV51">
            <v>1714.2857142857142</v>
          </cell>
          <cell r="CW51">
            <v>1714.2857142857142</v>
          </cell>
          <cell r="CX51">
            <v>1714.2857142857142</v>
          </cell>
          <cell r="CY51">
            <v>1714.2857142857142</v>
          </cell>
          <cell r="CZ51">
            <v>1714.2857142857142</v>
          </cell>
          <cell r="DA51">
            <v>1714.2857142857142</v>
          </cell>
          <cell r="DB51">
            <v>1714.2857142857142</v>
          </cell>
          <cell r="DC51">
            <v>1714.2857142857142</v>
          </cell>
          <cell r="DD51">
            <v>1714.2857142857142</v>
          </cell>
          <cell r="DE51">
            <v>1714.2857142857142</v>
          </cell>
          <cell r="DF51">
            <v>1714.2857142857142</v>
          </cell>
          <cell r="DG51">
            <v>1714.2857142857142</v>
          </cell>
          <cell r="DH51">
            <v>20571.428571428569</v>
          </cell>
        </row>
        <row r="52">
          <cell r="B52">
            <v>425</v>
          </cell>
          <cell r="C52" t="str">
            <v>Operations</v>
          </cell>
          <cell r="CP52" t="str">
            <v>רובין  רינת</v>
          </cell>
          <cell r="CQ52">
            <v>132</v>
          </cell>
          <cell r="CR52" t="str">
            <v>Lavie Bio Micro. Lab .LTD</v>
          </cell>
          <cell r="CS52" t="str">
            <v xml:space="preserve">Hourly Assistant </v>
          </cell>
          <cell r="CT52" t="str">
            <v xml:space="preserve">רובין </v>
          </cell>
          <cell r="CU52" t="str">
            <v>רינת</v>
          </cell>
          <cell r="CV52">
            <v>1714.2857142857142</v>
          </cell>
          <cell r="CW52">
            <v>1714.2857142857142</v>
          </cell>
          <cell r="CX52">
            <v>1714.2857142857142</v>
          </cell>
          <cell r="CY52">
            <v>1714.2857142857142</v>
          </cell>
          <cell r="CZ52">
            <v>1714.2857142857142</v>
          </cell>
          <cell r="DA52">
            <v>1714.2857142857142</v>
          </cell>
          <cell r="DB52">
            <v>1714.2857142857142</v>
          </cell>
          <cell r="DC52">
            <v>1714.2857142857142</v>
          </cell>
          <cell r="DD52">
            <v>1714.2857142857142</v>
          </cell>
          <cell r="DE52">
            <v>1714.2857142857142</v>
          </cell>
          <cell r="DF52">
            <v>1714.2857142857142</v>
          </cell>
          <cell r="DG52">
            <v>1714.2857142857142</v>
          </cell>
          <cell r="DH52">
            <v>20571.428571428569</v>
          </cell>
        </row>
        <row r="53">
          <cell r="B53">
            <v>412</v>
          </cell>
          <cell r="C53" t="str">
            <v>PLM</v>
          </cell>
        </row>
        <row r="54">
          <cell r="B54">
            <v>415</v>
          </cell>
          <cell r="C54" t="str">
            <v>Phytopathology Lab</v>
          </cell>
        </row>
        <row r="55">
          <cell r="B55">
            <v>418</v>
          </cell>
          <cell r="C55" t="str">
            <v>Plant Growth</v>
          </cell>
        </row>
        <row r="56">
          <cell r="B56">
            <v>427</v>
          </cell>
          <cell r="C56" t="str">
            <v>Product Management</v>
          </cell>
          <cell r="CP56" t="str">
            <v>PM  TBR</v>
          </cell>
          <cell r="CQ56">
            <v>103</v>
          </cell>
          <cell r="CR56" t="str">
            <v>Lavie Bio PM</v>
          </cell>
          <cell r="CS56" t="str">
            <v>Project manager</v>
          </cell>
          <cell r="CT56" t="str">
            <v xml:space="preserve">PM </v>
          </cell>
          <cell r="CU56" t="str">
            <v>TBR</v>
          </cell>
          <cell r="CX56">
            <v>8734.7007248335412</v>
          </cell>
          <cell r="CY56">
            <v>11655.272153404969</v>
          </cell>
          <cell r="CZ56">
            <v>8734.7007248335412</v>
          </cell>
          <cell r="DA56">
            <v>8734.7007248335412</v>
          </cell>
          <cell r="DB56">
            <v>8734.7007248335412</v>
          </cell>
          <cell r="DC56">
            <v>8734.7007248335412</v>
          </cell>
          <cell r="DD56">
            <v>8734.7007248335412</v>
          </cell>
          <cell r="DE56">
            <v>8734.7007248335412</v>
          </cell>
          <cell r="DF56">
            <v>8734.7007248335412</v>
          </cell>
          <cell r="DG56">
            <v>8734.7007248335412</v>
          </cell>
          <cell r="DH56">
            <v>90267.578676906851</v>
          </cell>
        </row>
        <row r="57">
          <cell r="B57">
            <v>426</v>
          </cell>
          <cell r="C57" t="str">
            <v>Project Management</v>
          </cell>
          <cell r="CP57" t="str">
            <v>Director of operations TBR</v>
          </cell>
          <cell r="CQ57">
            <v>103</v>
          </cell>
          <cell r="CR57" t="str">
            <v>Lavie Bio PM</v>
          </cell>
          <cell r="CS57" t="str">
            <v xml:space="preserve">Director of operations </v>
          </cell>
          <cell r="CT57" t="str">
            <v>Director of operations</v>
          </cell>
          <cell r="CU57" t="str">
            <v>TBR</v>
          </cell>
          <cell r="CY57">
            <v>11571.428571428571</v>
          </cell>
          <cell r="CZ57">
            <v>11571.428571428571</v>
          </cell>
          <cell r="DA57">
            <v>11571.428571428571</v>
          </cell>
          <cell r="DB57">
            <v>11571.428571428571</v>
          </cell>
          <cell r="DC57">
            <v>11571.428571428571</v>
          </cell>
          <cell r="DD57">
            <v>11571.428571428571</v>
          </cell>
          <cell r="DE57">
            <v>11571.428571428571</v>
          </cell>
          <cell r="DF57">
            <v>11571.428571428571</v>
          </cell>
          <cell r="DG57">
            <v>11571.428571428571</v>
          </cell>
          <cell r="DH57">
            <v>104142.85714285712</v>
          </cell>
        </row>
        <row r="58">
          <cell r="B58">
            <v>608</v>
          </cell>
          <cell r="C58" t="str">
            <v>Purchasing</v>
          </cell>
          <cell r="CS58" t="str">
            <v>– IL-based, 30KNIS level, starting April</v>
          </cell>
        </row>
        <row r="59">
          <cell r="B59">
            <v>419</v>
          </cell>
          <cell r="C59" t="str">
            <v>QA</v>
          </cell>
        </row>
        <row r="60">
          <cell r="B60">
            <v>428</v>
          </cell>
          <cell r="C60" t="str">
            <v>Seed Bank</v>
          </cell>
        </row>
        <row r="61">
          <cell r="B61">
            <v>406</v>
          </cell>
          <cell r="C61" t="str">
            <v>Software Development</v>
          </cell>
          <cell r="CP61" t="str">
            <v>Director of Finance  TBR</v>
          </cell>
          <cell r="CQ61">
            <v>101</v>
          </cell>
          <cell r="CR61" t="str">
            <v xml:space="preserve"> Lavie Bio Exec. MGMT</v>
          </cell>
          <cell r="CS61" t="str">
            <v>Director of Finance</v>
          </cell>
          <cell r="CT61" t="str">
            <v xml:space="preserve">Director of Finance </v>
          </cell>
          <cell r="CU61" t="str">
            <v>TBR</v>
          </cell>
          <cell r="CY61">
            <v>0</v>
          </cell>
          <cell r="CZ61">
            <v>0</v>
          </cell>
          <cell r="DA61">
            <v>0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H61">
            <v>0</v>
          </cell>
        </row>
        <row r="62">
          <cell r="B62">
            <v>416</v>
          </cell>
          <cell r="C62" t="str">
            <v>Tissue Culture</v>
          </cell>
          <cell r="CP62" t="str">
            <v>Director of quility  TBR</v>
          </cell>
          <cell r="CQ62">
            <v>103</v>
          </cell>
          <cell r="CR62" t="str">
            <v>Lavie Bio PM</v>
          </cell>
          <cell r="CS62" t="str">
            <v>Director of quality</v>
          </cell>
          <cell r="CT62" t="str">
            <v xml:space="preserve">Director of quility </v>
          </cell>
          <cell r="CU62" t="str">
            <v>TBR</v>
          </cell>
          <cell r="DB62">
            <v>9285.7142857142862</v>
          </cell>
          <cell r="DC62">
            <v>9285.7142857142862</v>
          </cell>
          <cell r="DD62">
            <v>9285.7142857142862</v>
          </cell>
          <cell r="DE62">
            <v>9285.7142857142862</v>
          </cell>
          <cell r="DF62">
            <v>9285.7142857142862</v>
          </cell>
          <cell r="DG62">
            <v>9285.7142857142862</v>
          </cell>
          <cell r="DH62">
            <v>55714.285714285725</v>
          </cell>
        </row>
        <row r="63">
          <cell r="B63">
            <v>111</v>
          </cell>
          <cell r="C63" t="str">
            <v>Lavie Bio COO .LTD</v>
          </cell>
          <cell r="CP63" t="str">
            <v>VP program management TBR</v>
          </cell>
          <cell r="CQ63">
            <v>132</v>
          </cell>
          <cell r="CR63" t="str">
            <v>Lavie Bio Micro. Lab .LTD</v>
          </cell>
          <cell r="CS63" t="str">
            <v>VP program management</v>
          </cell>
          <cell r="CT63" t="str">
            <v>VP program management</v>
          </cell>
          <cell r="CU63" t="str">
            <v>TBR</v>
          </cell>
          <cell r="CY63">
            <v>0</v>
          </cell>
          <cell r="CZ63">
            <v>0</v>
          </cell>
          <cell r="DA63">
            <v>0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H63">
            <v>0</v>
          </cell>
        </row>
        <row r="64">
          <cell r="B64">
            <v>124</v>
          </cell>
          <cell r="C64" t="str">
            <v>Lavie Bio COO .INC</v>
          </cell>
          <cell r="CP64" t="str">
            <v>IL admin TBR</v>
          </cell>
          <cell r="CQ64">
            <v>132</v>
          </cell>
          <cell r="CR64" t="str">
            <v>Lavie Bio Micro. Lab .LTD</v>
          </cell>
          <cell r="CS64" t="str">
            <v>IL admin – similar level as Lea, starting April</v>
          </cell>
          <cell r="CT64" t="str">
            <v>IL admin</v>
          </cell>
          <cell r="CU64" t="str">
            <v>TBR</v>
          </cell>
          <cell r="CY64">
            <v>0</v>
          </cell>
          <cell r="CZ64">
            <v>0</v>
          </cell>
          <cell r="DA64">
            <v>0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0</v>
          </cell>
          <cell r="DH64">
            <v>0</v>
          </cell>
        </row>
        <row r="65">
          <cell r="B65">
            <v>125</v>
          </cell>
          <cell r="C65" t="str">
            <v>Lavie Bio US site</v>
          </cell>
          <cell r="CP65" t="str">
            <v>Analyst TBR</v>
          </cell>
          <cell r="CQ65">
            <v>132</v>
          </cell>
          <cell r="CR65" t="str">
            <v>Lavie Bio Micro. Lab .LTD</v>
          </cell>
          <cell r="CS65" t="str">
            <v>Analyst per Dor’s file – starting June</v>
          </cell>
          <cell r="CT65" t="str">
            <v>Analyst</v>
          </cell>
          <cell r="CU65" t="str">
            <v>TBR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H65">
            <v>0</v>
          </cell>
        </row>
        <row r="66">
          <cell r="B66">
            <v>126</v>
          </cell>
          <cell r="C66" t="str">
            <v>Lavie Bio Commercial .LTD</v>
          </cell>
          <cell r="CP66" t="str">
            <v>New Student 1  TBR</v>
          </cell>
          <cell r="CQ66">
            <v>132</v>
          </cell>
          <cell r="CR66" t="str">
            <v>Lavie Bio Micro. Lab .LTD</v>
          </cell>
          <cell r="CS66" t="str">
            <v>3 more students, starting Q2</v>
          </cell>
          <cell r="CT66" t="str">
            <v xml:space="preserve">New Student 1 </v>
          </cell>
          <cell r="CU66" t="str">
            <v>TBR</v>
          </cell>
          <cell r="CY66">
            <v>4242.8571428571431</v>
          </cell>
          <cell r="CZ66">
            <v>4242.8571428571431</v>
          </cell>
          <cell r="DA66">
            <v>4242.8571428571431</v>
          </cell>
          <cell r="DB66">
            <v>4242.8571428571431</v>
          </cell>
          <cell r="DC66">
            <v>4242.8571428571431</v>
          </cell>
          <cell r="DD66">
            <v>4242.8571428571431</v>
          </cell>
          <cell r="DE66">
            <v>4242.8571428571431</v>
          </cell>
          <cell r="DF66">
            <v>4242.8571428571431</v>
          </cell>
          <cell r="DG66">
            <v>4242.8571428571431</v>
          </cell>
          <cell r="DH66">
            <v>38185.714285714297</v>
          </cell>
        </row>
        <row r="67">
          <cell r="B67">
            <v>127</v>
          </cell>
          <cell r="C67" t="str">
            <v>Lavie Bio Commercial .INC</v>
          </cell>
          <cell r="CP67" t="str">
            <v>New Student 2 TBR</v>
          </cell>
          <cell r="CQ67">
            <v>132</v>
          </cell>
          <cell r="CR67" t="str">
            <v>Lavie Bio Micro. Lab .LTD</v>
          </cell>
          <cell r="CS67" t="str">
            <v>3 more students, starting Q2</v>
          </cell>
          <cell r="CT67" t="str">
            <v>New Student 2</v>
          </cell>
          <cell r="CU67" t="str">
            <v>TBR</v>
          </cell>
          <cell r="CY67">
            <v>4242.8571428571431</v>
          </cell>
          <cell r="CZ67">
            <v>4242.8571428571431</v>
          </cell>
          <cell r="DA67">
            <v>4242.8571428571431</v>
          </cell>
          <cell r="DB67">
            <v>4242.8571428571431</v>
          </cell>
          <cell r="DC67">
            <v>4242.8571428571431</v>
          </cell>
          <cell r="DD67">
            <v>4242.8571428571431</v>
          </cell>
          <cell r="DE67">
            <v>4242.8571428571431</v>
          </cell>
          <cell r="DF67">
            <v>4242.8571428571431</v>
          </cell>
          <cell r="DG67">
            <v>4242.8571428571431</v>
          </cell>
          <cell r="DH67">
            <v>38185.714285714297</v>
          </cell>
        </row>
        <row r="68">
          <cell r="B68">
            <v>128</v>
          </cell>
          <cell r="C68" t="str">
            <v>Lavie Bio Development .INC</v>
          </cell>
          <cell r="CP68" t="str">
            <v>New Student 3 TBR</v>
          </cell>
          <cell r="CQ68">
            <v>132</v>
          </cell>
          <cell r="CR68" t="str">
            <v>Lavie Bio Micro. Lab .LTD</v>
          </cell>
          <cell r="CS68" t="str">
            <v>3 more students, starting Q2</v>
          </cell>
          <cell r="CT68" t="str">
            <v>New Student 3</v>
          </cell>
          <cell r="CU68" t="str">
            <v>TBR</v>
          </cell>
          <cell r="CY68">
            <v>4242.8571428571431</v>
          </cell>
          <cell r="CZ68">
            <v>4242.8571428571431</v>
          </cell>
          <cell r="DA68">
            <v>4242.8571428571431</v>
          </cell>
          <cell r="DB68">
            <v>4242.8571428571431</v>
          </cell>
          <cell r="DC68">
            <v>4242.8571428571431</v>
          </cell>
          <cell r="DD68">
            <v>4242.8571428571431</v>
          </cell>
          <cell r="DE68">
            <v>4242.8571428571431</v>
          </cell>
          <cell r="DF68">
            <v>4242.8571428571431</v>
          </cell>
          <cell r="DG68">
            <v>4242.8571428571431</v>
          </cell>
          <cell r="DH68">
            <v>38185.714285714297</v>
          </cell>
        </row>
        <row r="69">
          <cell r="B69">
            <v>129</v>
          </cell>
          <cell r="C69" t="str">
            <v>Lavie Bio Research .INC</v>
          </cell>
        </row>
        <row r="70">
          <cell r="B70">
            <v>130</v>
          </cell>
          <cell r="C70" t="str">
            <v>Lavie Bio Field Dev.LTD</v>
          </cell>
        </row>
        <row r="71">
          <cell r="B71">
            <v>131</v>
          </cell>
          <cell r="C71" t="str">
            <v>Lavie Bio Field Dev. .INC</v>
          </cell>
        </row>
        <row r="72">
          <cell r="B72">
            <v>132</v>
          </cell>
          <cell r="C72" t="str">
            <v>Lavie Bio Micro. Lab .LTD</v>
          </cell>
        </row>
        <row r="73">
          <cell r="B73">
            <v>133</v>
          </cell>
          <cell r="C73" t="str">
            <v>Lavie Bio Micro. Lab .INC</v>
          </cell>
          <cell r="CQ73" t="str">
            <v>Department number</v>
          </cell>
          <cell r="CR73" t="str">
            <v>Department</v>
          </cell>
          <cell r="CS73" t="str">
            <v>הגדרת תפקיד</v>
          </cell>
          <cell r="CT73" t="str">
            <v xml:space="preserve">שם פרטי </v>
          </cell>
          <cell r="CU73" t="str">
            <v xml:space="preserve">שם משפחה </v>
          </cell>
          <cell r="CV73" t="str">
            <v>ינואר</v>
          </cell>
          <cell r="CW73" t="str">
            <v>פברואר</v>
          </cell>
          <cell r="CX73" t="str">
            <v>מרץ</v>
          </cell>
          <cell r="CY73" t="str">
            <v>אפריל</v>
          </cell>
          <cell r="CZ73" t="str">
            <v>מאי</v>
          </cell>
          <cell r="DA73" t="str">
            <v>יוני</v>
          </cell>
          <cell r="DB73" t="str">
            <v>יולי</v>
          </cell>
          <cell r="DC73" t="str">
            <v>אוגוסט</v>
          </cell>
          <cell r="DD73" t="str">
            <v>ספטמבר</v>
          </cell>
          <cell r="DE73" t="str">
            <v>אוקטובר</v>
          </cell>
          <cell r="DF73" t="str">
            <v>נובמבר</v>
          </cell>
          <cell r="DG73" t="str">
            <v>דצמבר</v>
          </cell>
          <cell r="DH73" t="str">
            <v>סה"כ שנתי  - USD</v>
          </cell>
        </row>
        <row r="74">
          <cell r="B74">
            <v>429</v>
          </cell>
          <cell r="C74" t="str">
            <v>Lavie Bio CAPEX .LTD</v>
          </cell>
          <cell r="CP74" t="str">
            <v xml:space="preserve">Corey Mulhair </v>
          </cell>
          <cell r="CQ74">
            <v>127</v>
          </cell>
          <cell r="CR74" t="str">
            <v>Lavie Bio Commercial .INC</v>
          </cell>
          <cell r="CS74" t="str">
            <v>Territory Sales Agronomist</v>
          </cell>
          <cell r="CT74" t="str">
            <v>Corey Mulhair</v>
          </cell>
          <cell r="CV74">
            <v>8660</v>
          </cell>
          <cell r="CW74">
            <v>8660</v>
          </cell>
          <cell r="CX74">
            <v>8660</v>
          </cell>
          <cell r="CY74">
            <v>28660</v>
          </cell>
          <cell r="CZ74">
            <v>8660</v>
          </cell>
          <cell r="DA74">
            <v>8660</v>
          </cell>
          <cell r="DB74">
            <v>8660</v>
          </cell>
          <cell r="DC74">
            <v>8660</v>
          </cell>
          <cell r="DD74">
            <v>8660</v>
          </cell>
          <cell r="DE74">
            <v>8660</v>
          </cell>
          <cell r="DF74">
            <v>8660</v>
          </cell>
          <cell r="DG74">
            <v>8660</v>
          </cell>
          <cell r="DH74">
            <v>123920</v>
          </cell>
        </row>
        <row r="75">
          <cell r="CP75" t="str">
            <v xml:space="preserve">Russel Putland </v>
          </cell>
          <cell r="CQ75">
            <v>120</v>
          </cell>
          <cell r="CR75" t="str">
            <v>Lavie Bio Management .INC</v>
          </cell>
          <cell r="CS75" t="str">
            <v>VP Commercial</v>
          </cell>
          <cell r="CT75" t="str">
            <v>Russel Putland</v>
          </cell>
          <cell r="CV75">
            <v>19514.5</v>
          </cell>
          <cell r="CW75">
            <v>19514.5</v>
          </cell>
          <cell r="CX75">
            <v>19514.5</v>
          </cell>
          <cell r="CY75">
            <v>79514.5</v>
          </cell>
          <cell r="CZ75">
            <v>19514.5</v>
          </cell>
          <cell r="DA75">
            <v>19514.5</v>
          </cell>
          <cell r="DB75">
            <v>19514.5</v>
          </cell>
          <cell r="DC75">
            <v>19514.5</v>
          </cell>
          <cell r="DD75">
            <v>19514.5</v>
          </cell>
          <cell r="DE75">
            <v>19514.5</v>
          </cell>
          <cell r="DF75">
            <v>19514.5</v>
          </cell>
          <cell r="DG75">
            <v>19514.5</v>
          </cell>
          <cell r="DH75">
            <v>294174</v>
          </cell>
        </row>
        <row r="76">
          <cell r="CP76" t="str">
            <v xml:space="preserve">Brandon Potashnick </v>
          </cell>
          <cell r="CQ76">
            <v>133</v>
          </cell>
          <cell r="CR76" t="str">
            <v>Lavie Bio Micro. Lab .INC</v>
          </cell>
          <cell r="CS76" t="str">
            <v>Research Assitant</v>
          </cell>
          <cell r="CT76" t="str">
            <v>Brandon Potashnick</v>
          </cell>
          <cell r="CV76">
            <v>6298.166666666667</v>
          </cell>
          <cell r="CW76">
            <v>6298.166666666667</v>
          </cell>
          <cell r="CX76">
            <v>6298.166666666667</v>
          </cell>
          <cell r="CY76">
            <v>6298.166666666667</v>
          </cell>
          <cell r="CZ76">
            <v>6298.166666666667</v>
          </cell>
          <cell r="DA76">
            <v>6298.166666666667</v>
          </cell>
          <cell r="DB76">
            <v>6298.166666666667</v>
          </cell>
          <cell r="DC76">
            <v>6298.166666666667</v>
          </cell>
          <cell r="DD76">
            <v>6298.166666666667</v>
          </cell>
          <cell r="DE76">
            <v>6298.166666666667</v>
          </cell>
          <cell r="DF76">
            <v>6298.166666666667</v>
          </cell>
          <cell r="DG76">
            <v>6298.166666666667</v>
          </cell>
          <cell r="DH76">
            <v>75578</v>
          </cell>
        </row>
        <row r="77">
          <cell r="CP77" t="str">
            <v xml:space="preserve">Michael Allen Rausch </v>
          </cell>
          <cell r="CQ77">
            <v>133</v>
          </cell>
          <cell r="CR77" t="str">
            <v>Lavie Bio Micro. Lab .INC</v>
          </cell>
          <cell r="CS77" t="str">
            <v>Research Associate</v>
          </cell>
          <cell r="CT77" t="str">
            <v>Michael Allen Rausch</v>
          </cell>
          <cell r="CV77">
            <v>7036.25</v>
          </cell>
          <cell r="CW77">
            <v>7036.25</v>
          </cell>
          <cell r="CX77">
            <v>7036.25</v>
          </cell>
          <cell r="CY77">
            <v>7036.25</v>
          </cell>
          <cell r="CZ77">
            <v>7036.25</v>
          </cell>
          <cell r="DA77">
            <v>7036.25</v>
          </cell>
          <cell r="DB77">
            <v>7036.25</v>
          </cell>
          <cell r="DC77">
            <v>7036.25</v>
          </cell>
          <cell r="DD77">
            <v>7036.25</v>
          </cell>
          <cell r="DE77">
            <v>7036.25</v>
          </cell>
          <cell r="DF77">
            <v>7036.25</v>
          </cell>
          <cell r="DG77">
            <v>7036.25</v>
          </cell>
          <cell r="DH77">
            <v>84435</v>
          </cell>
        </row>
        <row r="78">
          <cell r="CP78" t="str">
            <v xml:space="preserve">Amit Kumar Jaiswal </v>
          </cell>
          <cell r="CQ78">
            <v>133</v>
          </cell>
          <cell r="CR78" t="str">
            <v>Lavie Bio Micro. Lab .INC</v>
          </cell>
          <cell r="CS78" t="str">
            <v>Researcher</v>
          </cell>
          <cell r="CT78" t="str">
            <v>Amit Kumar Jaiswal</v>
          </cell>
          <cell r="CV78">
            <v>9967.0833333333339</v>
          </cell>
          <cell r="CW78">
            <v>9967.0833333333339</v>
          </cell>
          <cell r="CX78">
            <v>9967.0833333333339</v>
          </cell>
          <cell r="CY78">
            <v>9967.0833333333339</v>
          </cell>
          <cell r="CZ78">
            <v>9967.0833333333339</v>
          </cell>
          <cell r="DA78">
            <v>9967.0833333333339</v>
          </cell>
          <cell r="DB78">
            <v>9967.0833333333339</v>
          </cell>
          <cell r="DC78">
            <v>9967.0833333333339</v>
          </cell>
          <cell r="DD78">
            <v>9967.0833333333339</v>
          </cell>
          <cell r="DE78">
            <v>9967.0833333333339</v>
          </cell>
          <cell r="DF78">
            <v>9967.0833333333339</v>
          </cell>
          <cell r="DG78">
            <v>9967.0833333333339</v>
          </cell>
          <cell r="DH78">
            <v>119604.99999999999</v>
          </cell>
        </row>
        <row r="79">
          <cell r="CP79" t="str">
            <v xml:space="preserve">Suzanne Roussin </v>
          </cell>
          <cell r="CQ79">
            <v>133</v>
          </cell>
          <cell r="CR79" t="str">
            <v>Lavie Bio Micro. Lab .INC</v>
          </cell>
          <cell r="CS79" t="str">
            <v>Lab Technician</v>
          </cell>
          <cell r="CT79" t="str">
            <v>Suzanne Roussin</v>
          </cell>
          <cell r="CV79">
            <v>3220.2083333333335</v>
          </cell>
          <cell r="CW79">
            <v>3220.2083333333335</v>
          </cell>
          <cell r="CX79">
            <v>3220.2083333333335</v>
          </cell>
          <cell r="CY79">
            <v>0</v>
          </cell>
          <cell r="CZ79">
            <v>0</v>
          </cell>
          <cell r="DA79">
            <v>0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  <cell r="DF79">
            <v>0</v>
          </cell>
          <cell r="DG79">
            <v>0</v>
          </cell>
          <cell r="DH79">
            <v>9660.625</v>
          </cell>
        </row>
        <row r="80">
          <cell r="CP80" t="str">
            <v>Canada Addition TBR</v>
          </cell>
          <cell r="CQ80">
            <v>127</v>
          </cell>
          <cell r="CR80" t="str">
            <v>Lavie Bio Commercial .INC</v>
          </cell>
          <cell r="CS80" t="str">
            <v>Territory Sales Agronomist</v>
          </cell>
          <cell r="CT80" t="str">
            <v>Canada Addition</v>
          </cell>
          <cell r="CU80" t="str">
            <v>TBR</v>
          </cell>
          <cell r="DE80">
            <v>0</v>
          </cell>
          <cell r="DF80">
            <v>0</v>
          </cell>
          <cell r="DG80">
            <v>0</v>
          </cell>
          <cell r="DH80">
            <v>0</v>
          </cell>
        </row>
        <row r="81">
          <cell r="CP81" t="str">
            <v xml:space="preserve">Chris </v>
          </cell>
          <cell r="CQ81">
            <v>133</v>
          </cell>
          <cell r="CR81" t="str">
            <v>Lavie Bio Micro. Lab .INC</v>
          </cell>
          <cell r="CS81" t="str">
            <v>Hourly employee</v>
          </cell>
          <cell r="CT81" t="str">
            <v>Chris</v>
          </cell>
          <cell r="CV81">
            <v>1110</v>
          </cell>
          <cell r="CW81">
            <v>1110</v>
          </cell>
          <cell r="CX81">
            <v>1110</v>
          </cell>
          <cell r="CY81">
            <v>1110</v>
          </cell>
          <cell r="CZ81">
            <v>1110</v>
          </cell>
          <cell r="DA81">
            <v>1110</v>
          </cell>
          <cell r="DB81">
            <v>1110</v>
          </cell>
          <cell r="DC81">
            <v>1110</v>
          </cell>
          <cell r="DD81">
            <v>1110</v>
          </cell>
          <cell r="DE81">
            <v>1110</v>
          </cell>
          <cell r="DF81">
            <v>1110</v>
          </cell>
          <cell r="DG81">
            <v>1110</v>
          </cell>
          <cell r="DH81">
            <v>13320</v>
          </cell>
        </row>
        <row r="83">
          <cell r="CP83" t="str">
            <v>Sales Agronomist USA TBR</v>
          </cell>
          <cell r="CQ83">
            <v>127</v>
          </cell>
          <cell r="CR83" t="str">
            <v>Lavie Bio Commercial .INC</v>
          </cell>
          <cell r="CS83" t="str">
            <v>Sales Agronomist USA</v>
          </cell>
          <cell r="CT83" t="str">
            <v>Sales Agronomist USA</v>
          </cell>
          <cell r="CU83" t="str">
            <v>TBR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H83">
            <v>0</v>
          </cell>
        </row>
        <row r="84">
          <cell r="CP84" t="str">
            <v>Sales Agronomist USA 1 TBR</v>
          </cell>
          <cell r="CQ84">
            <v>127</v>
          </cell>
          <cell r="CR84" t="str">
            <v>Lavie Bio Commercial .INC</v>
          </cell>
          <cell r="CS84" t="str">
            <v>Sales Agronomist USA</v>
          </cell>
          <cell r="CT84" t="str">
            <v>Sales Agronomist USA 1</v>
          </cell>
          <cell r="CU84" t="str">
            <v>TBR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8716.6666666666661</v>
          </cell>
          <cell r="DF84">
            <v>8716.6666666666661</v>
          </cell>
          <cell r="DG84">
            <v>8716.6666666666661</v>
          </cell>
          <cell r="DH84">
            <v>26150</v>
          </cell>
        </row>
        <row r="85">
          <cell r="CP85" t="str">
            <v>Sales Agronomist CAN TBR</v>
          </cell>
          <cell r="CQ85">
            <v>127</v>
          </cell>
          <cell r="CR85" t="str">
            <v>Lavie Bio Commercial .INC</v>
          </cell>
          <cell r="CS85" t="str">
            <v>Sales Agronomist CAN</v>
          </cell>
          <cell r="CT85" t="str">
            <v>Sales Agronomist CAN</v>
          </cell>
          <cell r="CU85" t="str">
            <v>TBR</v>
          </cell>
          <cell r="DE85">
            <v>0</v>
          </cell>
          <cell r="DF85">
            <v>0</v>
          </cell>
          <cell r="DG85">
            <v>0</v>
          </cell>
          <cell r="DH85">
            <v>0</v>
          </cell>
        </row>
        <row r="86">
          <cell r="CP86" t="str">
            <v>Trial/Project Manager NA TBR</v>
          </cell>
          <cell r="CQ86">
            <v>120</v>
          </cell>
          <cell r="CR86" t="str">
            <v>Lavie Bio Management .INC</v>
          </cell>
          <cell r="CS86" t="str">
            <v>Trial/Project Manager NA</v>
          </cell>
          <cell r="CT86" t="str">
            <v>Trial/Project Manager NA</v>
          </cell>
          <cell r="CU86" t="str">
            <v>TBR</v>
          </cell>
          <cell r="CY86">
            <v>9191.6666666666661</v>
          </cell>
          <cell r="CZ86">
            <v>9191.6666666666661</v>
          </cell>
          <cell r="DA86">
            <v>9191.6666666666661</v>
          </cell>
          <cell r="DB86">
            <v>9191.6666666666661</v>
          </cell>
          <cell r="DC86">
            <v>9191.6666666666661</v>
          </cell>
          <cell r="DD86">
            <v>9191.6666666666661</v>
          </cell>
          <cell r="DE86">
            <v>9191.6666666666661</v>
          </cell>
          <cell r="DF86">
            <v>9191.6666666666661</v>
          </cell>
          <cell r="DG86">
            <v>9191.6666666666661</v>
          </cell>
          <cell r="DH86">
            <v>82725</v>
          </cell>
        </row>
        <row r="87">
          <cell r="CP87" t="str">
            <v xml:space="preserve"> Key Accounts Sales Agronomist CAN TBR</v>
          </cell>
          <cell r="CQ87">
            <v>127</v>
          </cell>
          <cell r="CR87" t="str">
            <v>Lavie Bio Commercial .INC</v>
          </cell>
          <cell r="CS87" t="str">
            <v xml:space="preserve"> Key Accounts Sales Agronomist CAN</v>
          </cell>
          <cell r="CT87" t="str">
            <v xml:space="preserve"> Key Accounts Sales Agronomist CAN</v>
          </cell>
          <cell r="CU87" t="str">
            <v>TBR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0</v>
          </cell>
          <cell r="DH87">
            <v>0</v>
          </cell>
        </row>
        <row r="88">
          <cell r="CP88" t="str">
            <v>Russ's addition  TBR</v>
          </cell>
          <cell r="CQ88">
            <v>127</v>
          </cell>
          <cell r="CR88" t="str">
            <v>Lavie Bio Commercial .INC</v>
          </cell>
          <cell r="CS88" t="str">
            <v>Sales Agronomist USA</v>
          </cell>
          <cell r="CT88" t="str">
            <v xml:space="preserve">Russ's addition </v>
          </cell>
          <cell r="CU88" t="str">
            <v>TBR</v>
          </cell>
          <cell r="DB88">
            <v>0</v>
          </cell>
          <cell r="DC88">
            <v>0</v>
          </cell>
          <cell r="DD88">
            <v>0</v>
          </cell>
          <cell r="DE88">
            <v>0</v>
          </cell>
          <cell r="DF88">
            <v>0</v>
          </cell>
          <cell r="DG88">
            <v>0</v>
          </cell>
          <cell r="DH88">
            <v>0</v>
          </cell>
        </row>
        <row r="90">
          <cell r="DH90">
            <v>3289822.785425242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vie Bio"/>
    </sheetNames>
    <sheetDataSet>
      <sheetData sheetId="0">
        <row r="1">
          <cell r="A1" t="str">
            <v>Budget Item</v>
          </cell>
          <cell r="B1" t="str">
            <v>Company</v>
          </cell>
          <cell r="C1" t="str">
            <v>FinReport</v>
          </cell>
          <cell r="D1" t="str">
            <v>Project Name</v>
          </cell>
          <cell r="E1" t="str">
            <v>Budget  Owner</v>
          </cell>
        </row>
        <row r="2">
          <cell r="A2" t="str">
            <v>B20/10.P143.130.320-E999</v>
          </cell>
          <cell r="B2" t="str">
            <v>Lavie Bio LTD</v>
          </cell>
          <cell r="C2" t="str">
            <v>COGS</v>
          </cell>
          <cell r="D2" t="str">
            <v>Corteva</v>
          </cell>
          <cell r="E2" t="str">
            <v>Idan</v>
          </cell>
        </row>
        <row r="3">
          <cell r="A3" t="str">
            <v>B20/20.P999.105.320-E999</v>
          </cell>
          <cell r="B3" t="str">
            <v>Lavie Bio LTD</v>
          </cell>
          <cell r="C3" t="str">
            <v>RD</v>
          </cell>
          <cell r="D3" t="str">
            <v>General</v>
          </cell>
          <cell r="E3" t="str">
            <v>Luna / Limor</v>
          </cell>
        </row>
        <row r="4">
          <cell r="A4" t="str">
            <v>B20/20.P82.105.320-E999</v>
          </cell>
          <cell r="B4" t="str">
            <v>Lavie Bio LTD</v>
          </cell>
          <cell r="C4" t="str">
            <v>RD</v>
          </cell>
          <cell r="D4" t="str">
            <v>ICL</v>
          </cell>
          <cell r="E4" t="str">
            <v>Amir</v>
          </cell>
        </row>
        <row r="5">
          <cell r="A5" t="str">
            <v>B20/20.P143.105.320-E999</v>
          </cell>
          <cell r="B5" t="str">
            <v>Lavie Bio LTD</v>
          </cell>
          <cell r="C5" t="str">
            <v>RD</v>
          </cell>
          <cell r="D5" t="str">
            <v>Corteva</v>
          </cell>
          <cell r="E5" t="str">
            <v>Amir</v>
          </cell>
        </row>
        <row r="6">
          <cell r="A6" t="str">
            <v>B20/20.P192.105.320-E999</v>
          </cell>
          <cell r="B6" t="str">
            <v>Lavie Bio LTD</v>
          </cell>
          <cell r="C6" t="str">
            <v>RD</v>
          </cell>
          <cell r="D6" t="str">
            <v>Lavie_programs</v>
          </cell>
          <cell r="E6" t="str">
            <v>Amir</v>
          </cell>
        </row>
        <row r="7">
          <cell r="A7" t="str">
            <v>B20/20.P82.105.320-E999</v>
          </cell>
          <cell r="B7" t="str">
            <v>Lavie Bio LTD</v>
          </cell>
          <cell r="C7" t="str">
            <v>RD</v>
          </cell>
          <cell r="D7" t="str">
            <v>ICL</v>
          </cell>
          <cell r="E7" t="str">
            <v>Tsipi</v>
          </cell>
        </row>
        <row r="8">
          <cell r="A8" t="str">
            <v>B20/20.P143.105.320-E999</v>
          </cell>
          <cell r="B8" t="str">
            <v>Lavie Bio LTD</v>
          </cell>
          <cell r="C8" t="str">
            <v>RD</v>
          </cell>
          <cell r="D8" t="str">
            <v>Corteva</v>
          </cell>
          <cell r="E8" t="str">
            <v>Tsipi</v>
          </cell>
        </row>
        <row r="9">
          <cell r="A9" t="str">
            <v>B20/20.P192.105.320-E999</v>
          </cell>
          <cell r="B9" t="str">
            <v>Lavie Bio LTD</v>
          </cell>
          <cell r="C9" t="str">
            <v>RD</v>
          </cell>
          <cell r="D9" t="str">
            <v>Lavie_programs</v>
          </cell>
          <cell r="E9" t="str">
            <v>Tsipi</v>
          </cell>
        </row>
        <row r="10">
          <cell r="A10" t="str">
            <v>B20/20.P82.105.911-E999</v>
          </cell>
          <cell r="B10" t="str">
            <v>Lavie Bio LTD</v>
          </cell>
          <cell r="C10" t="str">
            <v>RD</v>
          </cell>
          <cell r="D10" t="str">
            <v>ICL</v>
          </cell>
          <cell r="E10" t="str">
            <v>Amir</v>
          </cell>
        </row>
        <row r="11">
          <cell r="A11" t="str">
            <v>B20/20.P143.105.911-E999</v>
          </cell>
          <cell r="B11" t="str">
            <v>Lavie Bio LTD</v>
          </cell>
          <cell r="C11" t="str">
            <v>RD</v>
          </cell>
          <cell r="D11" t="str">
            <v>Corteva</v>
          </cell>
          <cell r="E11" t="str">
            <v>Amir</v>
          </cell>
        </row>
        <row r="12">
          <cell r="A12" t="str">
            <v>B20/20.P192.105.911-E999</v>
          </cell>
          <cell r="B12" t="str">
            <v>Lavie Bio LTD</v>
          </cell>
          <cell r="C12" t="str">
            <v>RD</v>
          </cell>
          <cell r="D12" t="str">
            <v>Lavie_programs</v>
          </cell>
          <cell r="E12" t="str">
            <v>Amir</v>
          </cell>
        </row>
        <row r="13">
          <cell r="A13" t="str">
            <v>B20/60.P999.130.320-E999</v>
          </cell>
          <cell r="B13" t="str">
            <v>Lavie Bio LTD</v>
          </cell>
          <cell r="C13" t="str">
            <v>GA</v>
          </cell>
          <cell r="D13" t="str">
            <v>General</v>
          </cell>
          <cell r="E13" t="str">
            <v>Sharon</v>
          </cell>
        </row>
        <row r="14">
          <cell r="A14" t="str">
            <v>B20/50.P192.130.320-E999</v>
          </cell>
          <cell r="B14" t="str">
            <v>Lavie Bio LTD</v>
          </cell>
          <cell r="C14" t="str">
            <v>BD</v>
          </cell>
          <cell r="D14" t="str">
            <v>Lavie_programs</v>
          </cell>
          <cell r="E14" t="str">
            <v>Dor</v>
          </cell>
        </row>
        <row r="15">
          <cell r="A15" t="str">
            <v>B20/20.P999.105.320-E999</v>
          </cell>
          <cell r="B15" t="str">
            <v>Lavie Bio LTD</v>
          </cell>
          <cell r="C15" t="str">
            <v>RD</v>
          </cell>
          <cell r="D15" t="str">
            <v>General</v>
          </cell>
          <cell r="E15" t="str">
            <v>Miki / Amir</v>
          </cell>
        </row>
        <row r="16">
          <cell r="A16" t="str">
            <v>B20/50.P82.105.921-E999</v>
          </cell>
          <cell r="B16" t="str">
            <v>Lavie Bio LTD</v>
          </cell>
          <cell r="C16" t="str">
            <v>BD</v>
          </cell>
          <cell r="D16" t="str">
            <v>ICL</v>
          </cell>
          <cell r="E16" t="str">
            <v>Dor</v>
          </cell>
        </row>
        <row r="17">
          <cell r="A17" t="str">
            <v>B20/50.P143.105.921-E999</v>
          </cell>
          <cell r="B17" t="str">
            <v>Lavie Bio LTD</v>
          </cell>
          <cell r="C17" t="str">
            <v>BD</v>
          </cell>
          <cell r="D17" t="str">
            <v>Corteva</v>
          </cell>
          <cell r="E17" t="str">
            <v>Dor</v>
          </cell>
        </row>
        <row r="18">
          <cell r="A18" t="str">
            <v>B20/50.P192.105.921-E999</v>
          </cell>
          <cell r="B18" t="str">
            <v>Lavie Bio LTD</v>
          </cell>
          <cell r="C18" t="str">
            <v>BD</v>
          </cell>
          <cell r="D18" t="str">
            <v>Lavie_programs</v>
          </cell>
          <cell r="E18" t="str">
            <v>Dor</v>
          </cell>
        </row>
        <row r="19">
          <cell r="A19" t="str">
            <v>B20/95.P82.105.520-E999</v>
          </cell>
          <cell r="B19" t="str">
            <v>Lavie Bio LTD</v>
          </cell>
          <cell r="C19" t="str">
            <v>CAPEX</v>
          </cell>
          <cell r="D19" t="str">
            <v>ICL</v>
          </cell>
          <cell r="E19" t="str">
            <v>Amir</v>
          </cell>
        </row>
        <row r="20">
          <cell r="A20" t="str">
            <v>B20/20.P192.130.320-E999</v>
          </cell>
          <cell r="B20" t="str">
            <v>Lavie Bio LTD</v>
          </cell>
          <cell r="C20" t="str">
            <v>RD</v>
          </cell>
          <cell r="D20" t="str">
            <v>Lavie_programs</v>
          </cell>
          <cell r="E20" t="str">
            <v>Dor</v>
          </cell>
        </row>
        <row r="21">
          <cell r="A21" t="str">
            <v>B20/50.P192.130.320-E999</v>
          </cell>
          <cell r="B21" t="str">
            <v>Lavie Bio LTD</v>
          </cell>
          <cell r="C21" t="str">
            <v>BD</v>
          </cell>
          <cell r="D21" t="str">
            <v>Lavie_programs</v>
          </cell>
          <cell r="E21" t="str">
            <v>Dor</v>
          </cell>
        </row>
        <row r="22">
          <cell r="A22" t="str">
            <v>B20/50.P19.130.320-E999</v>
          </cell>
          <cell r="B22" t="str">
            <v>Lavie Bio LTD</v>
          </cell>
          <cell r="C22" t="str">
            <v>BD</v>
          </cell>
          <cell r="D22" t="str">
            <v>Thrivus</v>
          </cell>
          <cell r="E22" t="str">
            <v>Dor</v>
          </cell>
        </row>
        <row r="23">
          <cell r="A23" t="str">
            <v>B20/50.P19.130.320-E999</v>
          </cell>
          <cell r="B23" t="str">
            <v>Lavie Bio LTD</v>
          </cell>
          <cell r="C23" t="str">
            <v>BD</v>
          </cell>
          <cell r="D23" t="str">
            <v>Thrivus</v>
          </cell>
          <cell r="E23" t="str">
            <v>Dor</v>
          </cell>
        </row>
        <row r="24">
          <cell r="A24" t="str">
            <v>B20/20.P143.130.320-E999</v>
          </cell>
          <cell r="B24" t="str">
            <v>Lavie Bio LTD</v>
          </cell>
          <cell r="C24" t="str">
            <v>RD</v>
          </cell>
          <cell r="D24" t="str">
            <v>Corteva</v>
          </cell>
          <cell r="E24" t="str">
            <v>Dor</v>
          </cell>
        </row>
        <row r="25">
          <cell r="A25" t="str">
            <v>B20/30.P19.122.320-E999</v>
          </cell>
          <cell r="B25" t="str">
            <v>Lavie Bio LTD</v>
          </cell>
          <cell r="C25" t="str">
            <v>SM</v>
          </cell>
          <cell r="D25" t="str">
            <v>Thrivus</v>
          </cell>
          <cell r="E25" t="str">
            <v>Liat/Sarit</v>
          </cell>
        </row>
        <row r="26">
          <cell r="A26" t="str">
            <v>B20/60.P999.101.320-E999</v>
          </cell>
          <cell r="B26" t="str">
            <v>Lavie Bio LTD</v>
          </cell>
          <cell r="C26" t="str">
            <v>GA</v>
          </cell>
          <cell r="D26" t="str">
            <v>General</v>
          </cell>
          <cell r="E26" t="str">
            <v>Idan</v>
          </cell>
        </row>
        <row r="27">
          <cell r="A27" t="str">
            <v>B20/60.P999.101.320-E999</v>
          </cell>
          <cell r="B27" t="str">
            <v>Lavie Bio LTD</v>
          </cell>
          <cell r="C27" t="str">
            <v>GA</v>
          </cell>
          <cell r="D27" t="str">
            <v>General</v>
          </cell>
          <cell r="E27" t="str">
            <v>Liat/Sarit</v>
          </cell>
        </row>
        <row r="28">
          <cell r="A28" t="str">
            <v>B20/60.P999.101.320-E999</v>
          </cell>
          <cell r="B28" t="str">
            <v>Lavie Bio LTD</v>
          </cell>
          <cell r="C28" t="str">
            <v>GA</v>
          </cell>
          <cell r="D28" t="str">
            <v>General</v>
          </cell>
          <cell r="E28" t="str">
            <v>Idan</v>
          </cell>
        </row>
        <row r="29">
          <cell r="A29" t="str">
            <v>B20/60.P999.101.320-E999</v>
          </cell>
          <cell r="B29" t="str">
            <v>Lavie Bio LTD</v>
          </cell>
          <cell r="C29" t="str">
            <v>GA</v>
          </cell>
          <cell r="D29" t="str">
            <v>General</v>
          </cell>
          <cell r="E29" t="str">
            <v>Idan</v>
          </cell>
        </row>
        <row r="30">
          <cell r="A30" t="str">
            <v>B20/60.P999.101.320-E999</v>
          </cell>
          <cell r="B30" t="str">
            <v>Lavie Bio LTD</v>
          </cell>
          <cell r="C30" t="str">
            <v>GA</v>
          </cell>
          <cell r="D30" t="str">
            <v>General</v>
          </cell>
          <cell r="E30" t="str">
            <v>Idan</v>
          </cell>
        </row>
        <row r="31">
          <cell r="A31" t="str">
            <v>B20/60.P999.101.320-E999</v>
          </cell>
          <cell r="B31" t="str">
            <v>Lavie Bio LTD</v>
          </cell>
          <cell r="C31" t="str">
            <v>GA</v>
          </cell>
          <cell r="D31" t="str">
            <v>General</v>
          </cell>
          <cell r="E31" t="str">
            <v>Dor</v>
          </cell>
        </row>
        <row r="32">
          <cell r="A32" t="str">
            <v>B20/20.P192.104.911-E999</v>
          </cell>
          <cell r="B32" t="str">
            <v>Lavie Bio LTD</v>
          </cell>
          <cell r="C32" t="str">
            <v>RD</v>
          </cell>
          <cell r="D32" t="str">
            <v>Lavie_programs</v>
          </cell>
          <cell r="E32" t="str">
            <v>Miki/Amir</v>
          </cell>
        </row>
        <row r="33">
          <cell r="A33" t="str">
            <v>B20/20.P145.104.911-E999</v>
          </cell>
          <cell r="B33" t="str">
            <v>Lavie Bio LTD</v>
          </cell>
          <cell r="C33" t="str">
            <v>RD</v>
          </cell>
          <cell r="D33" t="str">
            <v>Corteva - IA</v>
          </cell>
          <cell r="E33" t="str">
            <v>Miki/Amir</v>
          </cell>
        </row>
        <row r="34">
          <cell r="A34" t="str">
            <v>B20/20.P82.104.911-E999</v>
          </cell>
          <cell r="B34" t="str">
            <v>Lavie Bio LTD</v>
          </cell>
          <cell r="C34" t="str">
            <v>RD</v>
          </cell>
          <cell r="D34" t="str">
            <v>ICL</v>
          </cell>
          <cell r="E34" t="str">
            <v>Miki/Amir</v>
          </cell>
        </row>
        <row r="35">
          <cell r="A35" t="str">
            <v>B20/20.P999.101.320-E999</v>
          </cell>
          <cell r="B35" t="str">
            <v>Lavie Bio LTD</v>
          </cell>
          <cell r="C35" t="str">
            <v>RD</v>
          </cell>
          <cell r="D35" t="str">
            <v>General</v>
          </cell>
          <cell r="E35" t="str">
            <v>Miki</v>
          </cell>
        </row>
        <row r="36">
          <cell r="A36" t="str">
            <v>B20/60.P999.101.320-E999</v>
          </cell>
          <cell r="B36" t="str">
            <v>Lavie Bio LTD</v>
          </cell>
          <cell r="C36" t="str">
            <v>GA</v>
          </cell>
          <cell r="D36" t="str">
            <v>General</v>
          </cell>
          <cell r="E36" t="str">
            <v>Dor</v>
          </cell>
        </row>
        <row r="37">
          <cell r="A37" t="str">
            <v>B20/60.P999.101.320-E999</v>
          </cell>
          <cell r="B37" t="str">
            <v>Lavie Bio LTD</v>
          </cell>
          <cell r="C37" t="str">
            <v>GA</v>
          </cell>
          <cell r="D37" t="str">
            <v>General</v>
          </cell>
          <cell r="E37" t="str">
            <v>Dor</v>
          </cell>
        </row>
        <row r="38">
          <cell r="A38" t="str">
            <v>B20/60.P999.101.320-E999</v>
          </cell>
          <cell r="B38" t="str">
            <v>Lavie Bio LTD</v>
          </cell>
          <cell r="C38" t="str">
            <v>GA</v>
          </cell>
          <cell r="D38" t="str">
            <v>General</v>
          </cell>
          <cell r="E38" t="str">
            <v>Idan</v>
          </cell>
        </row>
        <row r="39">
          <cell r="A39" t="str">
            <v>B20/20.P82.101.320-E999</v>
          </cell>
          <cell r="B39" t="str">
            <v>Lavie Bio LTD</v>
          </cell>
          <cell r="C39" t="str">
            <v>RD</v>
          </cell>
          <cell r="D39" t="str">
            <v>ICL</v>
          </cell>
          <cell r="E39" t="str">
            <v>Michal</v>
          </cell>
        </row>
        <row r="40">
          <cell r="A40" t="str">
            <v>B20/20.P999.101.320-E999</v>
          </cell>
          <cell r="B40" t="str">
            <v>Lavie Bio LTD</v>
          </cell>
          <cell r="C40" t="str">
            <v>RD</v>
          </cell>
          <cell r="D40" t="str">
            <v>General</v>
          </cell>
          <cell r="E40" t="str">
            <v>Miki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ivot "/>
      <sheetName val="Task units pivot"/>
      <sheetName val="SOW"/>
      <sheetName val="Parameters"/>
      <sheetName val="Pivot table"/>
    </sheetNames>
    <sheetDataSet>
      <sheetData sheetId="0"/>
      <sheetData sheetId="1"/>
      <sheetData sheetId="2"/>
      <sheetData sheetId="3">
        <row r="1">
          <cell r="B1" t="str">
            <v>DepartmentNo.</v>
          </cell>
          <cell r="C1" t="str">
            <v>Department Name</v>
          </cell>
          <cell r="P1" t="str">
            <v>ProjectName</v>
          </cell>
          <cell r="Q1" t="str">
            <v>ProjectFull</v>
          </cell>
          <cell r="R1" t="str">
            <v>Default Division</v>
          </cell>
          <cell r="S1" t="str">
            <v>ProjectNum</v>
          </cell>
          <cell r="U1" t="str">
            <v>Prefix</v>
          </cell>
          <cell r="V1" t="str">
            <v>Division</v>
          </cell>
          <cell r="BN1" t="str">
            <v>Ending</v>
          </cell>
          <cell r="BO1" t="str">
            <v>Task Description</v>
          </cell>
          <cell r="BP1" t="str">
            <v>Credit Budget</v>
          </cell>
          <cell r="BQ1" t="str">
            <v>Unit Description</v>
          </cell>
          <cell r="BR1" t="str">
            <v>Cost Department</v>
          </cell>
          <cell r="BS1" t="str">
            <v>Defalut Credit Prefix</v>
          </cell>
          <cell r="BT1" t="str">
            <v>Ending Type</v>
          </cell>
          <cell r="BU1" t="str">
            <v>Ending Group</v>
          </cell>
          <cell r="BV1" t="str">
            <v>Recognition Type</v>
          </cell>
          <cell r="BW1" t="str">
            <v>Cost Per unit</v>
          </cell>
          <cell r="CG1" t="str">
            <v>FinReport</v>
          </cell>
          <cell r="CH1" t="str">
            <v>Code</v>
          </cell>
        </row>
        <row r="2">
          <cell r="B2">
            <v>304</v>
          </cell>
          <cell r="C2" t="str">
            <v>Ag-Seed</v>
          </cell>
          <cell r="P2" t="str">
            <v>agPlenus Tech</v>
          </cell>
          <cell r="Q2" t="str">
            <v>P21 - agPlenus Tech</v>
          </cell>
          <cell r="R2" t="str">
            <v>AgPlenus</v>
          </cell>
          <cell r="S2" t="str">
            <v>P21</v>
          </cell>
          <cell r="U2" t="str">
            <v>B10</v>
          </cell>
          <cell r="V2" t="str">
            <v>AgPlenus</v>
          </cell>
          <cell r="AH2">
            <v>3.4</v>
          </cell>
          <cell r="AI2">
            <v>3.4</v>
          </cell>
          <cell r="AJ2">
            <v>3.4</v>
          </cell>
          <cell r="AK2">
            <v>3.4</v>
          </cell>
          <cell r="AL2">
            <v>3.4</v>
          </cell>
          <cell r="AM2">
            <v>3.4</v>
          </cell>
          <cell r="AN2">
            <v>3.4</v>
          </cell>
          <cell r="AO2">
            <v>3.4</v>
          </cell>
          <cell r="AP2">
            <v>3.4</v>
          </cell>
          <cell r="AQ2">
            <v>3.4</v>
          </cell>
          <cell r="AR2">
            <v>3.4</v>
          </cell>
          <cell r="AS2">
            <v>3.4</v>
          </cell>
          <cell r="BN2" t="str">
            <v>E000 - Salary</v>
          </cell>
          <cell r="BT2" t="str">
            <v>Salary</v>
          </cell>
          <cell r="BU2" t="str">
            <v>Salary</v>
          </cell>
          <cell r="BW2">
            <v>0</v>
          </cell>
          <cell r="CG2" t="str">
            <v>Revenues</v>
          </cell>
          <cell r="CH2" t="str">
            <v>00</v>
          </cell>
          <cell r="CQ2" t="str">
            <v>Department number</v>
          </cell>
          <cell r="CR2" t="str">
            <v>Department</v>
          </cell>
          <cell r="CS2" t="str">
            <v>הגדרת תפקיד</v>
          </cell>
          <cell r="CT2" t="str">
            <v xml:space="preserve">שם פרטי </v>
          </cell>
          <cell r="CU2" t="str">
            <v xml:space="preserve">שם משפחה </v>
          </cell>
          <cell r="CV2" t="str">
            <v>ינואר</v>
          </cell>
          <cell r="CW2" t="str">
            <v>פברואר</v>
          </cell>
          <cell r="CX2" t="str">
            <v>מרץ</v>
          </cell>
          <cell r="CY2" t="str">
            <v>אפריל</v>
          </cell>
          <cell r="CZ2" t="str">
            <v>מאי</v>
          </cell>
          <cell r="DA2" t="str">
            <v>יוני</v>
          </cell>
          <cell r="DB2" t="str">
            <v>יולי</v>
          </cell>
          <cell r="DC2" t="str">
            <v>אוגוסט</v>
          </cell>
          <cell r="DD2" t="str">
            <v>ספטמבר</v>
          </cell>
          <cell r="DE2" t="str">
            <v>אוקטובר</v>
          </cell>
          <cell r="DF2" t="str">
            <v>נובמבר</v>
          </cell>
          <cell r="DG2" t="str">
            <v>דצמבר</v>
          </cell>
          <cell r="DH2" t="str">
            <v>סה"כ שנתי  - NIS</v>
          </cell>
        </row>
        <row r="3">
          <cell r="B3">
            <v>302</v>
          </cell>
          <cell r="C3" t="str">
            <v>Ag-Seed BD</v>
          </cell>
          <cell r="P3" t="str">
            <v>Herbicides Corteva</v>
          </cell>
          <cell r="Q3" t="str">
            <v>P210 - Herbicides Corteva</v>
          </cell>
          <cell r="R3" t="str">
            <v>AgPlenus</v>
          </cell>
          <cell r="S3" t="str">
            <v>P210</v>
          </cell>
          <cell r="U3" t="str">
            <v>B20</v>
          </cell>
          <cell r="V3" t="str">
            <v>Lavie Bio</v>
          </cell>
          <cell r="BN3" t="str">
            <v xml:space="preserve">E301 - Capped Patent </v>
          </cell>
          <cell r="BT3" t="str">
            <v>External</v>
          </cell>
          <cell r="BU3" t="str">
            <v>External</v>
          </cell>
          <cell r="BW3">
            <v>0</v>
          </cell>
          <cell r="CG3" t="str">
            <v>COGS</v>
          </cell>
          <cell r="CH3" t="str">
            <v>10</v>
          </cell>
          <cell r="CQ3">
            <v>427</v>
          </cell>
          <cell r="CR3" t="str">
            <v>Product</v>
          </cell>
          <cell r="CS3" t="str">
            <v>Computational Product Operator</v>
          </cell>
          <cell r="CT3" t="str">
            <v>לריסה</v>
          </cell>
          <cell r="CU3" t="str">
            <v>רבינוביץ</v>
          </cell>
          <cell r="CV3">
            <v>28037.676976917392</v>
          </cell>
          <cell r="CW3">
            <v>28037.676976917392</v>
          </cell>
          <cell r="CX3">
            <v>28037.676976917392</v>
          </cell>
          <cell r="CY3">
            <v>28037.676976917392</v>
          </cell>
          <cell r="CZ3">
            <v>28037.676976917392</v>
          </cell>
          <cell r="DA3">
            <v>28037.676976917392</v>
          </cell>
          <cell r="DB3">
            <v>28037.676976917392</v>
          </cell>
          <cell r="DC3">
            <v>28037.676976917392</v>
          </cell>
          <cell r="DD3">
            <v>28037.676976917392</v>
          </cell>
          <cell r="DE3">
            <v>28037.676976917392</v>
          </cell>
          <cell r="DF3">
            <v>28037.676976917392</v>
          </cell>
          <cell r="DG3">
            <v>28037.676976917392</v>
          </cell>
          <cell r="DH3">
            <v>336452.12372300867</v>
          </cell>
        </row>
        <row r="4">
          <cell r="B4">
            <v>301</v>
          </cell>
          <cell r="C4" t="str">
            <v>Ag-Seed Exec. MGMT</v>
          </cell>
          <cell r="P4" t="str">
            <v>Herbicides APTH1</v>
          </cell>
          <cell r="Q4" t="str">
            <v>P211 - Herbicides APTH1</v>
          </cell>
          <cell r="R4" t="str">
            <v>AgPlenus</v>
          </cell>
          <cell r="S4" t="str">
            <v>P211</v>
          </cell>
          <cell r="U4" t="str">
            <v>B30</v>
          </cell>
          <cell r="V4" t="str">
            <v>Ag-Seed</v>
          </cell>
          <cell r="BN4" t="str">
            <v>E302 - Non Capped Patent</v>
          </cell>
          <cell r="BT4" t="str">
            <v>External</v>
          </cell>
          <cell r="BU4" t="str">
            <v>External</v>
          </cell>
          <cell r="BW4">
            <v>0</v>
          </cell>
          <cell r="CG4" t="str">
            <v>RD</v>
          </cell>
          <cell r="CH4" t="str">
            <v>20</v>
          </cell>
          <cell r="CQ4">
            <v>427</v>
          </cell>
          <cell r="CR4" t="str">
            <v>Product</v>
          </cell>
          <cell r="CS4" t="str">
            <v>Senior Computational Product Developer</v>
          </cell>
          <cell r="CT4" t="str">
            <v>ערן</v>
          </cell>
          <cell r="CU4" t="str">
            <v>אייל</v>
          </cell>
          <cell r="CV4">
            <v>45609.534372001232</v>
          </cell>
          <cell r="CW4">
            <v>45609.534372001232</v>
          </cell>
          <cell r="CX4">
            <v>45609.534372001232</v>
          </cell>
          <cell r="CY4">
            <v>45609.534372001232</v>
          </cell>
          <cell r="CZ4">
            <v>45609.534372001232</v>
          </cell>
          <cell r="DA4">
            <v>45609.534372001232</v>
          </cell>
          <cell r="DB4">
            <v>45609.534372001232</v>
          </cell>
          <cell r="DC4">
            <v>45609.534372001232</v>
          </cell>
          <cell r="DD4">
            <v>45609.534372001232</v>
          </cell>
          <cell r="DE4">
            <v>45609.534372001232</v>
          </cell>
          <cell r="DF4">
            <v>45609.534372001232</v>
          </cell>
          <cell r="DG4">
            <v>45609.534372001232</v>
          </cell>
          <cell r="DH4">
            <v>547314.41246401484</v>
          </cell>
        </row>
        <row r="5">
          <cell r="B5">
            <v>303</v>
          </cell>
          <cell r="C5" t="str">
            <v>Ag-Seed PM</v>
          </cell>
          <cell r="P5" t="str">
            <v>Herbicides</v>
          </cell>
          <cell r="Q5" t="str">
            <v>P23 - Herbicides</v>
          </cell>
          <cell r="R5" t="str">
            <v>AgPlenus</v>
          </cell>
          <cell r="S5" t="str">
            <v>P23</v>
          </cell>
          <cell r="U5" t="str">
            <v>B31</v>
          </cell>
          <cell r="V5" t="str">
            <v>Insect-Control</v>
          </cell>
          <cell r="BN5" t="str">
            <v>E999 - External</v>
          </cell>
          <cell r="BT5" t="str">
            <v>External</v>
          </cell>
          <cell r="BU5" t="str">
            <v>External</v>
          </cell>
          <cell r="BW5">
            <v>0</v>
          </cell>
          <cell r="CG5" t="str">
            <v>SM</v>
          </cell>
          <cell r="CH5">
            <v>30</v>
          </cell>
          <cell r="CQ5">
            <v>427</v>
          </cell>
          <cell r="CR5" t="str">
            <v>Product</v>
          </cell>
          <cell r="CS5" t="str">
            <v>Computational Product Developer</v>
          </cell>
          <cell r="CT5" t="str">
            <v xml:space="preserve">new </v>
          </cell>
          <cell r="CU5" t="str">
            <v>TBR</v>
          </cell>
          <cell r="CY5">
            <v>34691.733187334263</v>
          </cell>
          <cell r="CZ5">
            <v>34691.733187334263</v>
          </cell>
          <cell r="DA5">
            <v>34691.733187334263</v>
          </cell>
          <cell r="DB5">
            <v>34691.733187334263</v>
          </cell>
          <cell r="DC5">
            <v>34691.733187334263</v>
          </cell>
          <cell r="DD5">
            <v>34691.733187334263</v>
          </cell>
          <cell r="DE5">
            <v>34691.733187334263</v>
          </cell>
          <cell r="DF5">
            <v>34691.733187334263</v>
          </cell>
          <cell r="DG5">
            <v>34691.733187334263</v>
          </cell>
          <cell r="DH5">
            <v>312225.59868600836</v>
          </cell>
        </row>
        <row r="6">
          <cell r="B6">
            <v>202</v>
          </cell>
          <cell r="C6" t="str">
            <v>AgPlenus BD</v>
          </cell>
          <cell r="P6" t="str">
            <v>Fungicides</v>
          </cell>
          <cell r="Q6" t="str">
            <v>P24 - Fungicides</v>
          </cell>
          <cell r="R6" t="str">
            <v>AgPlenus</v>
          </cell>
          <cell r="S6" t="str">
            <v>P24</v>
          </cell>
          <cell r="U6" t="str">
            <v>B32</v>
          </cell>
          <cell r="V6" t="str">
            <v>IP-Legacy</v>
          </cell>
          <cell r="BN6" t="str">
            <v>T101 - Agronomist</v>
          </cell>
          <cell r="BO6" t="str">
            <v>Agronomist FTE annual cost</v>
          </cell>
          <cell r="BP6" t="str">
            <v>B40/22.P997.418.XXX-T101</v>
          </cell>
          <cell r="BQ6" t="str">
            <v>Per annual FTE</v>
          </cell>
          <cell r="BR6" t="str">
            <v>418</v>
          </cell>
          <cell r="BS6" t="str">
            <v>B40</v>
          </cell>
          <cell r="BT6" t="str">
            <v>CPB</v>
          </cell>
          <cell r="BU6" t="str">
            <v>Evogene service</v>
          </cell>
          <cell r="BV6" t="str">
            <v>Period</v>
          </cell>
          <cell r="BW6">
            <v>601.35203146789183</v>
          </cell>
          <cell r="CG6" t="str">
            <v>BD</v>
          </cell>
          <cell r="CH6" t="str">
            <v>50</v>
          </cell>
          <cell r="CQ6">
            <v>427</v>
          </cell>
          <cell r="CR6" t="str">
            <v>Product</v>
          </cell>
          <cell r="CS6" t="str">
            <v>Product Researcher</v>
          </cell>
          <cell r="CT6" t="str">
            <v>אלעד</v>
          </cell>
          <cell r="CU6" t="str">
            <v>ממון</v>
          </cell>
          <cell r="CV6">
            <v>28425.983856917399</v>
          </cell>
          <cell r="CW6">
            <v>28425.983856917399</v>
          </cell>
          <cell r="CX6">
            <v>28425.983856917399</v>
          </cell>
          <cell r="CY6">
            <v>28425.983856917399</v>
          </cell>
          <cell r="CZ6">
            <v>28425.983856917399</v>
          </cell>
          <cell r="DA6">
            <v>28425.983856917399</v>
          </cell>
          <cell r="DH6">
            <v>170555.90314150439</v>
          </cell>
        </row>
        <row r="7">
          <cell r="B7">
            <v>201</v>
          </cell>
          <cell r="C7" t="str">
            <v>AgPlenus Exec. MGMT</v>
          </cell>
          <cell r="P7" t="str">
            <v>TcdAB</v>
          </cell>
          <cell r="Q7" t="str">
            <v>P250 - TcdAB</v>
          </cell>
          <cell r="R7" t="str">
            <v>Biomica</v>
          </cell>
          <cell r="S7" t="str">
            <v>P250</v>
          </cell>
          <cell r="U7" t="str">
            <v>B40</v>
          </cell>
          <cell r="V7" t="str">
            <v>CPB</v>
          </cell>
          <cell r="BN7" t="str">
            <v>T102 - Algorithm Developer</v>
          </cell>
          <cell r="BO7" t="str">
            <v>Algorithm Developer FTE annual cost</v>
          </cell>
          <cell r="BP7" t="str">
            <v>B40/22.P997.404.XXX-T102</v>
          </cell>
          <cell r="BQ7" t="str">
            <v>Per annual FTE</v>
          </cell>
          <cell r="BR7" t="str">
            <v>404</v>
          </cell>
          <cell r="BS7" t="str">
            <v>B40</v>
          </cell>
          <cell r="BT7" t="str">
            <v>CPB</v>
          </cell>
          <cell r="BU7" t="str">
            <v>Evogene service</v>
          </cell>
          <cell r="BV7" t="str">
            <v>Period</v>
          </cell>
          <cell r="BW7">
            <v>954.8926704353529</v>
          </cell>
          <cell r="CG7" t="str">
            <v>GA</v>
          </cell>
          <cell r="CH7" t="str">
            <v>60</v>
          </cell>
          <cell r="CQ7">
            <v>427</v>
          </cell>
          <cell r="CR7" t="str">
            <v>Product</v>
          </cell>
          <cell r="CS7" t="str">
            <v>CPO</v>
          </cell>
          <cell r="CT7" t="str">
            <v>ניר</v>
          </cell>
          <cell r="CU7" t="str">
            <v>ארבל</v>
          </cell>
          <cell r="CV7">
            <v>73266.018388632525</v>
          </cell>
          <cell r="CW7">
            <v>73266.018388632525</v>
          </cell>
          <cell r="CX7">
            <v>73266.018388632525</v>
          </cell>
          <cell r="CY7">
            <v>73266.018388632525</v>
          </cell>
          <cell r="CZ7">
            <v>73266.018388632525</v>
          </cell>
          <cell r="DA7">
            <v>73266.018388632525</v>
          </cell>
          <cell r="DB7">
            <v>73266.018388632525</v>
          </cell>
          <cell r="DC7">
            <v>73266.018388632525</v>
          </cell>
          <cell r="DD7">
            <v>73266.018388632525</v>
          </cell>
          <cell r="DE7">
            <v>73266.018388632525</v>
          </cell>
          <cell r="DF7">
            <v>73266.018388632525</v>
          </cell>
          <cell r="DG7">
            <v>73266.018388632525</v>
          </cell>
          <cell r="DH7">
            <v>879192.22066359047</v>
          </cell>
        </row>
        <row r="8">
          <cell r="B8">
            <v>203</v>
          </cell>
          <cell r="C8" t="str">
            <v>AgPlenus PM</v>
          </cell>
          <cell r="P8" t="str">
            <v>MRSA 50S</v>
          </cell>
          <cell r="Q8" t="str">
            <v>P251 - MRSA 50S</v>
          </cell>
          <cell r="R8" t="str">
            <v>Biomica</v>
          </cell>
          <cell r="S8" t="str">
            <v>P251</v>
          </cell>
          <cell r="U8" t="str">
            <v>B41</v>
          </cell>
          <cell r="V8" t="str">
            <v>Phenomics</v>
          </cell>
          <cell r="BN8" t="str">
            <v>T103 - Bioinformatician</v>
          </cell>
          <cell r="BO8" t="str">
            <v>Bioinformatician FTE annual cost</v>
          </cell>
          <cell r="BP8" t="str">
            <v>B40/22.P997.405.XXX-T103</v>
          </cell>
          <cell r="BQ8" t="str">
            <v>Per annual FTE</v>
          </cell>
          <cell r="BR8" t="str">
            <v>405</v>
          </cell>
          <cell r="BS8" t="str">
            <v>B40</v>
          </cell>
          <cell r="BT8" t="str">
            <v>CPB</v>
          </cell>
          <cell r="BU8" t="str">
            <v>Evogene service</v>
          </cell>
          <cell r="BV8" t="str">
            <v>Period</v>
          </cell>
          <cell r="BW8">
            <v>794.84247172656671</v>
          </cell>
          <cell r="CG8" t="str">
            <v>Financial Inc/Exp</v>
          </cell>
          <cell r="CH8" t="str">
            <v>70</v>
          </cell>
          <cell r="CQ8">
            <v>427</v>
          </cell>
          <cell r="CR8" t="str">
            <v>Product</v>
          </cell>
          <cell r="CS8" t="str">
            <v>Product Manager - ChemPass</v>
          </cell>
          <cell r="CT8" t="str">
            <v>חמוטל</v>
          </cell>
          <cell r="CU8" t="str">
            <v>אנגל</v>
          </cell>
          <cell r="CV8">
            <v>35183.475947334256</v>
          </cell>
          <cell r="CW8">
            <v>35183.475947334256</v>
          </cell>
          <cell r="CX8">
            <v>35183.475947334256</v>
          </cell>
          <cell r="CY8">
            <v>35183.475947334256</v>
          </cell>
          <cell r="CZ8">
            <v>35183.475947334256</v>
          </cell>
          <cell r="DA8">
            <v>35183.475947334256</v>
          </cell>
          <cell r="DB8">
            <v>35183.475947334256</v>
          </cell>
          <cell r="DC8">
            <v>35183.475947334256</v>
          </cell>
          <cell r="DD8">
            <v>35183.475947334256</v>
          </cell>
          <cell r="DE8">
            <v>35183.475947334256</v>
          </cell>
          <cell r="DF8">
            <v>35183.475947334256</v>
          </cell>
          <cell r="DG8">
            <v>35183.475947334256</v>
          </cell>
          <cell r="DH8">
            <v>422201.71136801108</v>
          </cell>
        </row>
        <row r="9">
          <cell r="B9">
            <v>205</v>
          </cell>
          <cell r="C9" t="str">
            <v>AgPlenus RD</v>
          </cell>
          <cell r="P9" t="str">
            <v>Cancer Immun adjuvant</v>
          </cell>
          <cell r="Q9" t="str">
            <v>P252 - Cancer Immun adjuvant</v>
          </cell>
          <cell r="R9" t="str">
            <v>Biomica</v>
          </cell>
          <cell r="S9" t="str">
            <v>P252</v>
          </cell>
          <cell r="U9" t="str">
            <v>B42</v>
          </cell>
          <cell r="V9" t="str">
            <v>CrisperIL</v>
          </cell>
          <cell r="BN9" t="str">
            <v>T104 - Data Gathering</v>
          </cell>
          <cell r="BO9" t="str">
            <v>Data Gathering FTE annual cost</v>
          </cell>
          <cell r="BP9" t="str">
            <v>B40/22.P997.411.XXX-T104</v>
          </cell>
          <cell r="BQ9" t="str">
            <v>Per annual FTE</v>
          </cell>
          <cell r="BR9" t="str">
            <v>411</v>
          </cell>
          <cell r="BS9" t="str">
            <v>B40</v>
          </cell>
          <cell r="BT9" t="str">
            <v>CPB</v>
          </cell>
          <cell r="BU9" t="str">
            <v>Evogene service</v>
          </cell>
          <cell r="BV9" t="str">
            <v>Period</v>
          </cell>
          <cell r="BW9">
            <v>501.37103623373287</v>
          </cell>
          <cell r="CG9" t="str">
            <v>Grants refundable</v>
          </cell>
          <cell r="CH9" t="str">
            <v>90</v>
          </cell>
          <cell r="CQ9">
            <v>427</v>
          </cell>
          <cell r="CR9" t="str">
            <v>Product</v>
          </cell>
          <cell r="CS9" t="str">
            <v>QA Specialist</v>
          </cell>
          <cell r="CT9" t="str">
            <v>ענבר</v>
          </cell>
          <cell r="CU9" t="str">
            <v>פטלה</v>
          </cell>
          <cell r="CV9">
            <v>25226.25162075066</v>
          </cell>
          <cell r="CW9">
            <v>25226.25162075066</v>
          </cell>
          <cell r="CX9">
            <v>25226.25162075066</v>
          </cell>
          <cell r="CY9">
            <v>25226.25162075066</v>
          </cell>
          <cell r="CZ9">
            <v>25226.25162075066</v>
          </cell>
          <cell r="DA9">
            <v>25226.25162075066</v>
          </cell>
          <cell r="DB9">
            <v>25226.25162075066</v>
          </cell>
          <cell r="DC9">
            <v>25226.25162075066</v>
          </cell>
          <cell r="DD9">
            <v>25226.25162075066</v>
          </cell>
          <cell r="DE9">
            <v>25226.25162075066</v>
          </cell>
          <cell r="DF9">
            <v>25226.25162075066</v>
          </cell>
          <cell r="DG9">
            <v>25226.25162075066</v>
          </cell>
          <cell r="DH9">
            <v>302715.01944900793</v>
          </cell>
        </row>
        <row r="10">
          <cell r="B10">
            <v>404</v>
          </cell>
          <cell r="C10" t="str">
            <v>Algorithm</v>
          </cell>
          <cell r="P10" t="str">
            <v>IBS</v>
          </cell>
          <cell r="Q10" t="str">
            <v>P254 - IBS</v>
          </cell>
          <cell r="R10" t="str">
            <v>Biomica</v>
          </cell>
          <cell r="S10" t="str">
            <v>P254</v>
          </cell>
          <cell r="U10" t="str">
            <v>B50</v>
          </cell>
          <cell r="V10" t="str">
            <v>CPBL</v>
          </cell>
          <cell r="BN10" t="str">
            <v>T105 - DevOps</v>
          </cell>
          <cell r="BO10" t="str">
            <v>DevOps FTE annual cost</v>
          </cell>
          <cell r="BP10" t="str">
            <v>B40/22.P997.420.XXX-T105</v>
          </cell>
          <cell r="BQ10" t="str">
            <v>Per annual FTE</v>
          </cell>
          <cell r="BR10" t="str">
            <v>420</v>
          </cell>
          <cell r="BS10" t="str">
            <v>B40</v>
          </cell>
          <cell r="BT10" t="str">
            <v>CPB</v>
          </cell>
          <cell r="BU10" t="str">
            <v>Evogene service</v>
          </cell>
          <cell r="BV10" t="str">
            <v>Period</v>
          </cell>
          <cell r="BW10">
            <v>999.88411827220148</v>
          </cell>
          <cell r="CG10" t="str">
            <v>CAPEX</v>
          </cell>
          <cell r="CH10" t="str">
            <v>95</v>
          </cell>
          <cell r="CQ10">
            <v>427</v>
          </cell>
          <cell r="CR10" t="str">
            <v>Product</v>
          </cell>
          <cell r="CS10" t="str">
            <v>Head of MicroBoost</v>
          </cell>
          <cell r="CT10" t="str">
            <v>אילנית</v>
          </cell>
          <cell r="CU10" t="str">
            <v>כספי</v>
          </cell>
          <cell r="CV10">
            <v>46764.270478185776</v>
          </cell>
          <cell r="CW10">
            <v>46764.270478185776</v>
          </cell>
          <cell r="CX10">
            <v>46764.270478185776</v>
          </cell>
          <cell r="CY10">
            <v>46764.270478185776</v>
          </cell>
          <cell r="CZ10">
            <v>46764.270478185776</v>
          </cell>
          <cell r="DA10">
            <v>46764.270478185776</v>
          </cell>
          <cell r="DB10">
            <v>46764.270478185776</v>
          </cell>
          <cell r="DC10">
            <v>46764.270478185776</v>
          </cell>
          <cell r="DD10">
            <v>46764.270478185776</v>
          </cell>
          <cell r="DE10">
            <v>46764.270478185776</v>
          </cell>
          <cell r="DF10">
            <v>46764.270478185776</v>
          </cell>
          <cell r="DG10">
            <v>46764.270478185776</v>
          </cell>
          <cell r="DH10">
            <v>561171.24573822937</v>
          </cell>
        </row>
        <row r="11">
          <cell r="B11">
            <v>405</v>
          </cell>
          <cell r="C11" t="str">
            <v>Bioinformatics</v>
          </cell>
          <cell r="P11" t="str">
            <v>IBD</v>
          </cell>
          <cell r="Q11" t="str">
            <v>P255 - IBD</v>
          </cell>
          <cell r="R11" t="str">
            <v>Biomica</v>
          </cell>
          <cell r="S11" t="str">
            <v>P255</v>
          </cell>
          <cell r="U11" t="str">
            <v>B55</v>
          </cell>
          <cell r="V11" t="str">
            <v>CSO</v>
          </cell>
          <cell r="BN11" t="str">
            <v>T106 - Molecular Biologist</v>
          </cell>
          <cell r="BO11" t="str">
            <v>Molecular Biologist FTE annual cost</v>
          </cell>
          <cell r="BP11" t="str">
            <v>B40/22.P997.413.XXX-T106</v>
          </cell>
          <cell r="BQ11" t="str">
            <v>Per annual FTE</v>
          </cell>
          <cell r="BR11" t="str">
            <v>413</v>
          </cell>
          <cell r="BS11" t="str">
            <v>B40</v>
          </cell>
          <cell r="BT11" t="str">
            <v>CPB</v>
          </cell>
          <cell r="BU11" t="str">
            <v>Evogene service</v>
          </cell>
          <cell r="BV11" t="str">
            <v>Period</v>
          </cell>
          <cell r="BW11">
            <v>572.21134306945578</v>
          </cell>
          <cell r="CG11" t="str">
            <v>Cash Adjusments</v>
          </cell>
          <cell r="CH11" t="str">
            <v>96</v>
          </cell>
          <cell r="CQ11">
            <v>427</v>
          </cell>
          <cell r="CR11" t="str">
            <v>Product</v>
          </cell>
          <cell r="CS11" t="str">
            <v>Product Manager</v>
          </cell>
          <cell r="CT11" t="str">
            <v>ענת</v>
          </cell>
          <cell r="CU11" t="str">
            <v>אור לרנר</v>
          </cell>
          <cell r="CV11">
            <v>30390.801653084141</v>
          </cell>
          <cell r="CW11">
            <v>30390.801653084141</v>
          </cell>
          <cell r="CX11">
            <v>30390.801653084141</v>
          </cell>
          <cell r="CY11">
            <v>30390.801653084141</v>
          </cell>
          <cell r="CZ11">
            <v>30390.801653084141</v>
          </cell>
          <cell r="DA11">
            <v>30390.801653084141</v>
          </cell>
          <cell r="DB11">
            <v>30390.801653084141</v>
          </cell>
          <cell r="DC11">
            <v>30390.801653084141</v>
          </cell>
          <cell r="DD11">
            <v>30390.801653084141</v>
          </cell>
          <cell r="DE11">
            <v>30390.801653084141</v>
          </cell>
          <cell r="DF11">
            <v>30390.801653084141</v>
          </cell>
          <cell r="DG11">
            <v>30390.801653084141</v>
          </cell>
          <cell r="DH11">
            <v>364689.61983700958</v>
          </cell>
        </row>
        <row r="12">
          <cell r="B12">
            <v>995</v>
          </cell>
          <cell r="C12" t="str">
            <v>Biomica BD</v>
          </cell>
          <cell r="P12" t="str">
            <v>Infrastructure</v>
          </cell>
          <cell r="Q12" t="str">
            <v>P257 - Infrastructure</v>
          </cell>
          <cell r="R12" t="str">
            <v>Biomica</v>
          </cell>
          <cell r="S12" t="str">
            <v>P257</v>
          </cell>
          <cell r="U12" t="str">
            <v>B70</v>
          </cell>
          <cell r="V12" t="str">
            <v>Biomica</v>
          </cell>
          <cell r="BN12" t="str">
            <v>T107 - Phytopatologist</v>
          </cell>
          <cell r="BO12" t="str">
            <v>Phytopatologist FTE annual cost</v>
          </cell>
          <cell r="BP12" t="str">
            <v>B40/22.P997.415.XXX-T107</v>
          </cell>
          <cell r="BQ12" t="str">
            <v>Per annual FTE</v>
          </cell>
          <cell r="BR12" t="str">
            <v>415</v>
          </cell>
          <cell r="BS12" t="str">
            <v>B40</v>
          </cell>
          <cell r="BT12" t="str">
            <v>CPB</v>
          </cell>
          <cell r="BU12" t="str">
            <v>Evogene service</v>
          </cell>
          <cell r="BV12" t="str">
            <v>Period</v>
          </cell>
          <cell r="BW12">
            <v>487.01838594381684</v>
          </cell>
        </row>
        <row r="13">
          <cell r="B13">
            <v>207</v>
          </cell>
          <cell r="C13" t="str">
            <v>Biomica CSO</v>
          </cell>
          <cell r="P13" t="str">
            <v>Breeding general</v>
          </cell>
          <cell r="Q13" t="str">
            <v>P197 - Breeding general</v>
          </cell>
          <cell r="R13" t="str">
            <v>Canonic</v>
          </cell>
          <cell r="S13" t="str">
            <v>P197</v>
          </cell>
          <cell r="U13" t="str">
            <v>B72</v>
          </cell>
          <cell r="V13" t="str">
            <v>Casterra</v>
          </cell>
          <cell r="BN13" t="str">
            <v>T108 - PLM</v>
          </cell>
          <cell r="BO13" t="str">
            <v>PLM FTE annual cost</v>
          </cell>
          <cell r="BP13" t="str">
            <v>B40/22.P997.412.XXX-T108</v>
          </cell>
          <cell r="BQ13" t="str">
            <v>Per annual FTE</v>
          </cell>
          <cell r="BR13" t="str">
            <v>412</v>
          </cell>
          <cell r="BS13" t="str">
            <v>B40</v>
          </cell>
          <cell r="BT13" t="str">
            <v>CPB</v>
          </cell>
          <cell r="BU13" t="str">
            <v>Evogene service</v>
          </cell>
          <cell r="BV13" t="str">
            <v>Period</v>
          </cell>
          <cell r="BW13">
            <v>529.07665425480081</v>
          </cell>
          <cell r="CP13" t="str">
            <v xml:space="preserve"> </v>
          </cell>
        </row>
        <row r="14">
          <cell r="B14">
            <v>994</v>
          </cell>
          <cell r="C14" t="str">
            <v>Biomica Exec. MGMT</v>
          </cell>
          <cell r="P14" t="str">
            <v xml:space="preserve">Breeding -MG </v>
          </cell>
          <cell r="Q14" t="str">
            <v xml:space="preserve">P198 - Breeding -MG </v>
          </cell>
          <cell r="R14" t="str">
            <v>Canonic</v>
          </cell>
          <cell r="S14" t="str">
            <v>P198</v>
          </cell>
          <cell r="U14" t="str">
            <v>B74</v>
          </cell>
          <cell r="V14" t="str">
            <v>Canonic</v>
          </cell>
          <cell r="BN14" t="str">
            <v>T109 - Product Manager</v>
          </cell>
          <cell r="BO14" t="str">
            <v>Product Manager FTE annual cost</v>
          </cell>
          <cell r="BP14" t="str">
            <v>B55/22.P997.427.XXX-T109</v>
          </cell>
          <cell r="BQ14" t="str">
            <v>Per annual FTE</v>
          </cell>
          <cell r="BR14" t="str">
            <v>427</v>
          </cell>
          <cell r="BS14" t="str">
            <v>B55</v>
          </cell>
          <cell r="BT14" t="str">
            <v>CPB</v>
          </cell>
          <cell r="BU14" t="str">
            <v>Evogene service</v>
          </cell>
          <cell r="BV14" t="str">
            <v>Period</v>
          </cell>
          <cell r="BW14">
            <v>769.71461088921956</v>
          </cell>
          <cell r="CP14" t="str">
            <v xml:space="preserve">שם פרטי  שם משפחה </v>
          </cell>
          <cell r="CQ14" t="str">
            <v>Department number</v>
          </cell>
          <cell r="CR14" t="str">
            <v>Department</v>
          </cell>
          <cell r="CS14" t="str">
            <v>הגדרת תפקיד</v>
          </cell>
          <cell r="CT14" t="str">
            <v xml:space="preserve">שם פרטי </v>
          </cell>
          <cell r="CU14" t="str">
            <v xml:space="preserve">שם משפחה </v>
          </cell>
          <cell r="CV14" t="str">
            <v>ינואר</v>
          </cell>
          <cell r="CW14" t="str">
            <v>פברואר</v>
          </cell>
          <cell r="CX14" t="str">
            <v>מרץ</v>
          </cell>
          <cell r="CY14" t="str">
            <v>אפריל</v>
          </cell>
          <cell r="CZ14" t="str">
            <v>מאי</v>
          </cell>
          <cell r="DA14" t="str">
            <v>יוני</v>
          </cell>
          <cell r="DB14" t="str">
            <v>יולי</v>
          </cell>
          <cell r="DC14" t="str">
            <v>אוגוסט</v>
          </cell>
          <cell r="DD14" t="str">
            <v>ספטמבר</v>
          </cell>
          <cell r="DE14" t="str">
            <v>אוקטובר</v>
          </cell>
          <cell r="DF14" t="str">
            <v>נובמבר</v>
          </cell>
          <cell r="DG14" t="str">
            <v>דצמבר</v>
          </cell>
          <cell r="DH14" t="str">
            <v>סה"כ שנתי  - USD</v>
          </cell>
        </row>
        <row r="15">
          <cell r="B15">
            <v>206</v>
          </cell>
          <cell r="C15" t="str">
            <v>Biomica Lab</v>
          </cell>
          <cell r="P15" t="str">
            <v>Core collection &amp; Database</v>
          </cell>
          <cell r="Q15" t="str">
            <v>P199 - Core collection &amp; Database</v>
          </cell>
          <cell r="R15" t="str">
            <v>Canonic</v>
          </cell>
          <cell r="S15" t="str">
            <v>P199</v>
          </cell>
          <cell r="U15" t="str">
            <v>B90</v>
          </cell>
          <cell r="V15" t="str">
            <v>Corporate</v>
          </cell>
          <cell r="BN15" t="str">
            <v>T110 - Project Manager</v>
          </cell>
          <cell r="BO15" t="str">
            <v>Project Manager FTE annual cost</v>
          </cell>
          <cell r="BP15" t="str">
            <v>B40/22.P997.426.XXX-T110</v>
          </cell>
          <cell r="BQ15" t="str">
            <v>Per annual FTE</v>
          </cell>
          <cell r="BR15" t="str">
            <v>426</v>
          </cell>
          <cell r="BS15" t="str">
            <v>B40</v>
          </cell>
          <cell r="BT15" t="str">
            <v>CPB</v>
          </cell>
          <cell r="BU15" t="str">
            <v>Evogene service</v>
          </cell>
          <cell r="BV15" t="str">
            <v>Period</v>
          </cell>
          <cell r="CP15" t="str">
            <v>לריסה רבינוביץ</v>
          </cell>
          <cell r="CQ15">
            <v>427</v>
          </cell>
          <cell r="CR15" t="str">
            <v>Product</v>
          </cell>
          <cell r="CS15" t="str">
            <v>Computational Product Operator</v>
          </cell>
          <cell r="CT15" t="str">
            <v>לריסה</v>
          </cell>
          <cell r="CU15" t="str">
            <v>רבינוביץ</v>
          </cell>
          <cell r="CV15">
            <v>8246.3755814462911</v>
          </cell>
          <cell r="CW15">
            <v>8246.3755814462911</v>
          </cell>
          <cell r="CX15">
            <v>8246.3755814462911</v>
          </cell>
          <cell r="CY15">
            <v>8246.3755814462911</v>
          </cell>
          <cell r="CZ15">
            <v>8246.3755814462911</v>
          </cell>
          <cell r="DA15">
            <v>8246.3755814462911</v>
          </cell>
          <cell r="DB15">
            <v>8246.3755814462911</v>
          </cell>
          <cell r="DC15">
            <v>8246.3755814462911</v>
          </cell>
          <cell r="DD15">
            <v>8246.3755814462911</v>
          </cell>
          <cell r="DE15">
            <v>8246.3755814462911</v>
          </cell>
          <cell r="DF15">
            <v>8246.3755814462911</v>
          </cell>
          <cell r="DG15">
            <v>8246.3755814462911</v>
          </cell>
          <cell r="DH15">
            <v>98956.506977355501</v>
          </cell>
        </row>
        <row r="16">
          <cell r="B16">
            <v>999</v>
          </cell>
          <cell r="C16" t="str">
            <v>Biomica RD</v>
          </cell>
          <cell r="P16" t="str">
            <v>Product development</v>
          </cell>
          <cell r="Q16" t="str">
            <v>P205 - Product development</v>
          </cell>
          <cell r="R16" t="str">
            <v>Canonic</v>
          </cell>
          <cell r="S16" t="str">
            <v>P205</v>
          </cell>
          <cell r="U16" t="str">
            <v>B80</v>
          </cell>
          <cell r="V16" t="str">
            <v xml:space="preserve">Product </v>
          </cell>
          <cell r="BN16" t="str">
            <v>T111 - Seedbank</v>
          </cell>
          <cell r="BO16" t="str">
            <v>Seedbank FTE annual cost</v>
          </cell>
          <cell r="BP16" t="str">
            <v>B40/22.P997.418.XXX-T111</v>
          </cell>
          <cell r="BQ16" t="str">
            <v>Per annual FTE</v>
          </cell>
          <cell r="BR16" t="str">
            <v>418</v>
          </cell>
          <cell r="BS16" t="str">
            <v>B40</v>
          </cell>
          <cell r="BT16" t="str">
            <v>CPB</v>
          </cell>
          <cell r="BU16" t="str">
            <v>Evogene service</v>
          </cell>
          <cell r="BV16" t="str">
            <v>Period</v>
          </cell>
          <cell r="CP16" t="str">
            <v>ערן אייל</v>
          </cell>
          <cell r="CQ16">
            <v>427</v>
          </cell>
          <cell r="CR16" t="str">
            <v>Product</v>
          </cell>
          <cell r="CS16" t="str">
            <v>Senior Computational Product Developer</v>
          </cell>
          <cell r="CT16" t="str">
            <v>ערן</v>
          </cell>
          <cell r="CU16" t="str">
            <v>אייל</v>
          </cell>
          <cell r="CV16">
            <v>13414.568932941538</v>
          </cell>
          <cell r="CW16">
            <v>13414.568932941538</v>
          </cell>
          <cell r="CX16">
            <v>13414.568932941538</v>
          </cell>
          <cell r="CY16">
            <v>13414.568932941538</v>
          </cell>
          <cell r="CZ16">
            <v>13414.568932941538</v>
          </cell>
          <cell r="DA16">
            <v>13414.568932941538</v>
          </cell>
          <cell r="DB16">
            <v>13414.568932941538</v>
          </cell>
          <cell r="DC16">
            <v>13414.568932941538</v>
          </cell>
          <cell r="DD16">
            <v>13414.568932941538</v>
          </cell>
          <cell r="DE16">
            <v>13414.568932941538</v>
          </cell>
          <cell r="DF16">
            <v>13414.568932941538</v>
          </cell>
          <cell r="DG16">
            <v>13414.568932941538</v>
          </cell>
          <cell r="DH16">
            <v>160974.82719529842</v>
          </cell>
        </row>
        <row r="17">
          <cell r="B17">
            <v>422</v>
          </cell>
          <cell r="C17" t="str">
            <v>CPB Directors</v>
          </cell>
          <cell r="P17" t="str">
            <v>Computational Dev</v>
          </cell>
          <cell r="Q17" t="str">
            <v>P209 - Computational Dev</v>
          </cell>
          <cell r="R17" t="str">
            <v>Canonic</v>
          </cell>
          <cell r="S17" t="str">
            <v>P209</v>
          </cell>
          <cell r="BN17" t="str">
            <v>T112 - Software Developer</v>
          </cell>
          <cell r="BO17" t="str">
            <v>Software Developer FTE annual cost</v>
          </cell>
          <cell r="BP17" t="str">
            <v>B40/22.P997.406.XXX-T112</v>
          </cell>
          <cell r="BQ17" t="str">
            <v>Per annual FTE</v>
          </cell>
          <cell r="BR17" t="str">
            <v>406</v>
          </cell>
          <cell r="BS17" t="str">
            <v>B40</v>
          </cell>
          <cell r="BT17" t="str">
            <v>CPB</v>
          </cell>
          <cell r="BU17" t="str">
            <v>Evogene service</v>
          </cell>
          <cell r="BV17" t="str">
            <v>Period</v>
          </cell>
          <cell r="BW17">
            <v>949.36950206716381</v>
          </cell>
          <cell r="CP17" t="str">
            <v>new  TBR</v>
          </cell>
          <cell r="CQ17">
            <v>427</v>
          </cell>
          <cell r="CR17" t="str">
            <v>Product</v>
          </cell>
          <cell r="CS17" t="str">
            <v>Computational Product Developer</v>
          </cell>
          <cell r="CT17" t="str">
            <v xml:space="preserve">new </v>
          </cell>
          <cell r="CU17" t="str">
            <v>TBR</v>
          </cell>
          <cell r="CV17">
            <v>0</v>
          </cell>
          <cell r="CW17">
            <v>0</v>
          </cell>
          <cell r="CX17">
            <v>0</v>
          </cell>
          <cell r="CY17">
            <v>10203.450937451255</v>
          </cell>
          <cell r="CZ17">
            <v>10203.450937451255</v>
          </cell>
          <cell r="DA17">
            <v>10203.450937451255</v>
          </cell>
          <cell r="DB17">
            <v>10203.450937451255</v>
          </cell>
          <cell r="DC17">
            <v>10203.450937451255</v>
          </cell>
          <cell r="DD17">
            <v>10203.450937451255</v>
          </cell>
          <cell r="DE17">
            <v>10203.450937451255</v>
          </cell>
          <cell r="DF17">
            <v>10203.450937451255</v>
          </cell>
          <cell r="DG17">
            <v>10203.450937451255</v>
          </cell>
          <cell r="DH17">
            <v>91831.058437061292</v>
          </cell>
        </row>
        <row r="18">
          <cell r="B18">
            <v>401</v>
          </cell>
          <cell r="C18" t="str">
            <v>CPB Exec. MGMT</v>
          </cell>
          <cell r="P18" t="str">
            <v>Rebranding</v>
          </cell>
          <cell r="Q18" t="str">
            <v>P268 - Rebranding</v>
          </cell>
          <cell r="R18" t="str">
            <v>Corporate</v>
          </cell>
          <cell r="S18" t="str">
            <v>P268</v>
          </cell>
          <cell r="BN18" t="str">
            <v>T113 - Tissue Biologist</v>
          </cell>
          <cell r="BO18" t="str">
            <v>Tissue Biologist FTE annual cost</v>
          </cell>
          <cell r="BP18" t="str">
            <v>B40/22.P997.416.XXX-T113</v>
          </cell>
          <cell r="BQ18" t="str">
            <v>Per annual FTE</v>
          </cell>
          <cell r="BR18" t="str">
            <v>416</v>
          </cell>
          <cell r="BS18" t="str">
            <v>B40</v>
          </cell>
          <cell r="BT18" t="str">
            <v>CPB</v>
          </cell>
          <cell r="BU18" t="str">
            <v>Evogene service</v>
          </cell>
          <cell r="BV18" t="str">
            <v>Period</v>
          </cell>
          <cell r="BW18">
            <v>562.06324633241854</v>
          </cell>
          <cell r="CP18" t="str">
            <v>אלעד ממון</v>
          </cell>
          <cell r="CQ18">
            <v>427</v>
          </cell>
          <cell r="CR18" t="str">
            <v>Product</v>
          </cell>
          <cell r="CS18" t="str">
            <v>Product Researcher</v>
          </cell>
          <cell r="CT18" t="str">
            <v>אלעד</v>
          </cell>
          <cell r="CU18" t="str">
            <v>ממון</v>
          </cell>
          <cell r="CV18">
            <v>8360.5834873286476</v>
          </cell>
          <cell r="CW18">
            <v>8360.5834873286476</v>
          </cell>
          <cell r="CX18">
            <v>8360.5834873286476</v>
          </cell>
          <cell r="CY18">
            <v>8360.5834873286476</v>
          </cell>
          <cell r="CZ18">
            <v>8360.5834873286476</v>
          </cell>
          <cell r="DA18">
            <v>8360.5834873286476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0</v>
          </cell>
          <cell r="DH18">
            <v>50163.500923971893</v>
          </cell>
        </row>
        <row r="19">
          <cell r="B19">
            <v>996</v>
          </cell>
          <cell r="C19" t="str">
            <v>Canonic BD</v>
          </cell>
          <cell r="P19" t="str">
            <v>Zero Balance</v>
          </cell>
          <cell r="Q19" t="str">
            <v>P509 - Zero Balance</v>
          </cell>
          <cell r="R19" t="str">
            <v>Corporate</v>
          </cell>
          <cell r="S19" t="str">
            <v>P509</v>
          </cell>
          <cell r="BN19" t="str">
            <v>T114 - Hourly Student</v>
          </cell>
          <cell r="BO19" t="str">
            <v>Hourly Student FTE annual cost</v>
          </cell>
          <cell r="BQ19" t="str">
            <v>Per annual FTE</v>
          </cell>
          <cell r="BR19" t="str">
            <v>418</v>
          </cell>
          <cell r="BS19" t="str">
            <v>B40</v>
          </cell>
          <cell r="BT19" t="str">
            <v>External</v>
          </cell>
          <cell r="BU19" t="str">
            <v>External</v>
          </cell>
          <cell r="BV19" t="str">
            <v>Period</v>
          </cell>
          <cell r="CP19" t="str">
            <v>ניר ארבל</v>
          </cell>
          <cell r="CQ19">
            <v>427</v>
          </cell>
          <cell r="CR19" t="str">
            <v>Product</v>
          </cell>
          <cell r="CS19" t="str">
            <v>CPO</v>
          </cell>
          <cell r="CT19" t="str">
            <v>ניר</v>
          </cell>
          <cell r="CU19" t="str">
            <v>ארבל</v>
          </cell>
          <cell r="CV19">
            <v>21548.828937833096</v>
          </cell>
          <cell r="CW19">
            <v>21548.828937833096</v>
          </cell>
          <cell r="CX19">
            <v>21548.828937833096</v>
          </cell>
          <cell r="CY19">
            <v>21548.828937833096</v>
          </cell>
          <cell r="CZ19">
            <v>21548.828937833096</v>
          </cell>
          <cell r="DA19">
            <v>21548.828937833096</v>
          </cell>
          <cell r="DB19">
            <v>21548.828937833096</v>
          </cell>
          <cell r="DC19">
            <v>21548.828937833096</v>
          </cell>
          <cell r="DD19">
            <v>21548.828937833096</v>
          </cell>
          <cell r="DE19">
            <v>21548.828937833096</v>
          </cell>
          <cell r="DF19">
            <v>21548.828937833096</v>
          </cell>
          <cell r="DG19">
            <v>21548.828937833096</v>
          </cell>
          <cell r="DH19">
            <v>258585.94725399709</v>
          </cell>
        </row>
        <row r="20">
          <cell r="B20">
            <v>982</v>
          </cell>
          <cell r="C20" t="str">
            <v>Canonic Exec.MGMT</v>
          </cell>
          <cell r="P20" t="str">
            <v>Operations &amp; Corporate</v>
          </cell>
          <cell r="Q20" t="str">
            <v>P7 - Operations &amp; Corporate</v>
          </cell>
          <cell r="R20" t="str">
            <v>Corporate</v>
          </cell>
          <cell r="S20" t="str">
            <v>P7</v>
          </cell>
          <cell r="BN20" t="str">
            <v>T115 - System Architect</v>
          </cell>
          <cell r="BW20">
            <v>1150.8803943938306</v>
          </cell>
          <cell r="CP20" t="str">
            <v>חמוטל אנגל</v>
          </cell>
          <cell r="CQ20">
            <v>427</v>
          </cell>
          <cell r="CR20" t="str">
            <v>Product</v>
          </cell>
          <cell r="CS20" t="str">
            <v>Product Manager - ChemPass</v>
          </cell>
          <cell r="CT20" t="str">
            <v>חמוטל</v>
          </cell>
          <cell r="CU20" t="str">
            <v>אנגל</v>
          </cell>
          <cell r="CV20">
            <v>10348.081160980664</v>
          </cell>
          <cell r="CW20">
            <v>10348.081160980664</v>
          </cell>
          <cell r="CX20">
            <v>10348.081160980664</v>
          </cell>
          <cell r="CY20">
            <v>10348.081160980664</v>
          </cell>
          <cell r="CZ20">
            <v>10348.081160980664</v>
          </cell>
          <cell r="DA20">
            <v>10348.081160980664</v>
          </cell>
          <cell r="DB20">
            <v>10348.081160980664</v>
          </cell>
          <cell r="DC20">
            <v>10348.081160980664</v>
          </cell>
          <cell r="DD20">
            <v>10348.081160980664</v>
          </cell>
          <cell r="DE20">
            <v>10348.081160980664</v>
          </cell>
          <cell r="DF20">
            <v>10348.081160980664</v>
          </cell>
          <cell r="DG20">
            <v>10348.081160980664</v>
          </cell>
          <cell r="DH20">
            <v>124176.97393176799</v>
          </cell>
        </row>
        <row r="21">
          <cell r="B21">
            <v>981</v>
          </cell>
          <cell r="C21" t="str">
            <v>Canonic RD</v>
          </cell>
          <cell r="P21" t="str">
            <v>CPB Upkeep Computational</v>
          </cell>
          <cell r="Q21" t="str">
            <v>P271 - CPB Upkeep Computational</v>
          </cell>
          <cell r="R21" t="str">
            <v>CPB</v>
          </cell>
          <cell r="S21" t="str">
            <v>P271</v>
          </cell>
          <cell r="BN21" t="str">
            <v>T201 - Data Package</v>
          </cell>
          <cell r="BO21" t="str">
            <v>Data Package Fixed cost</v>
          </cell>
          <cell r="BP21" t="str">
            <v>B40/22.P271.422.XXX-T201</v>
          </cell>
          <cell r="BQ21" t="str">
            <v>Fixed - Specific</v>
          </cell>
          <cell r="BR21" t="str">
            <v>422</v>
          </cell>
          <cell r="BS21" t="str">
            <v>B40</v>
          </cell>
          <cell r="BT21" t="str">
            <v>CPB</v>
          </cell>
          <cell r="BU21" t="str">
            <v>Evogene service</v>
          </cell>
          <cell r="BV21" t="str">
            <v>Period</v>
          </cell>
          <cell r="CP21" t="str">
            <v>ענבר פטלה</v>
          </cell>
          <cell r="CQ21">
            <v>427</v>
          </cell>
          <cell r="CR21" t="str">
            <v>Product</v>
          </cell>
          <cell r="CS21" t="str">
            <v>QA Specialist</v>
          </cell>
          <cell r="CT21" t="str">
            <v>ענבר</v>
          </cell>
          <cell r="CU21" t="str">
            <v>פטלה</v>
          </cell>
          <cell r="CV21">
            <v>7419.4857708090176</v>
          </cell>
          <cell r="CW21">
            <v>7419.4857708090176</v>
          </cell>
          <cell r="CX21">
            <v>7419.4857708090176</v>
          </cell>
          <cell r="CY21">
            <v>7419.4857708090176</v>
          </cell>
          <cell r="CZ21">
            <v>7419.4857708090176</v>
          </cell>
          <cell r="DA21">
            <v>7419.4857708090176</v>
          </cell>
          <cell r="DB21">
            <v>7419.4857708090176</v>
          </cell>
          <cell r="DC21">
            <v>7419.4857708090176</v>
          </cell>
          <cell r="DD21">
            <v>7419.4857708090176</v>
          </cell>
          <cell r="DE21">
            <v>7419.4857708090176</v>
          </cell>
          <cell r="DF21">
            <v>7419.4857708090176</v>
          </cell>
          <cell r="DG21">
            <v>7419.4857708090176</v>
          </cell>
          <cell r="DH21">
            <v>89033.8292497082</v>
          </cell>
        </row>
        <row r="22">
          <cell r="B22">
            <v>993</v>
          </cell>
          <cell r="C22" t="str">
            <v>Casterra BD</v>
          </cell>
          <cell r="P22" t="str">
            <v>CPB Upkeep Experimental</v>
          </cell>
          <cell r="Q22" t="str">
            <v>P275 - CPB Upkeep Experimental</v>
          </cell>
          <cell r="R22" t="str">
            <v>CPB</v>
          </cell>
          <cell r="S22" t="str">
            <v>P275</v>
          </cell>
          <cell r="BN22" t="str">
            <v>T202 - Genes Package</v>
          </cell>
          <cell r="BO22" t="str">
            <v>Genes Package Fixed cost</v>
          </cell>
          <cell r="BP22" t="str">
            <v>B40/22.P272.422.XXX-T202</v>
          </cell>
          <cell r="BQ22" t="str">
            <v>Fixed - Specific</v>
          </cell>
          <cell r="BR22" t="str">
            <v>422</v>
          </cell>
          <cell r="BS22" t="str">
            <v>B40</v>
          </cell>
          <cell r="BT22" t="str">
            <v>CPB</v>
          </cell>
          <cell r="BU22" t="str">
            <v>Evogene service</v>
          </cell>
          <cell r="BV22" t="str">
            <v>Period</v>
          </cell>
          <cell r="CP22" t="str">
            <v>אילנית כספי</v>
          </cell>
          <cell r="CQ22">
            <v>427</v>
          </cell>
          <cell r="CR22" t="str">
            <v>Product</v>
          </cell>
          <cell r="CS22" t="str">
            <v>Head of MicroBoost</v>
          </cell>
          <cell r="CT22" t="str">
            <v>אילנית</v>
          </cell>
          <cell r="CU22" t="str">
            <v>כספי</v>
          </cell>
          <cell r="CV22">
            <v>13754.197199466405</v>
          </cell>
          <cell r="CW22">
            <v>13754.197199466405</v>
          </cell>
          <cell r="CX22">
            <v>13754.197199466405</v>
          </cell>
          <cell r="CY22">
            <v>13754.197199466405</v>
          </cell>
          <cell r="CZ22">
            <v>13754.197199466405</v>
          </cell>
          <cell r="DA22">
            <v>13754.197199466405</v>
          </cell>
          <cell r="DB22">
            <v>13754.197199466405</v>
          </cell>
          <cell r="DC22">
            <v>13754.197199466405</v>
          </cell>
          <cell r="DD22">
            <v>13754.197199466405</v>
          </cell>
          <cell r="DE22">
            <v>13754.197199466405</v>
          </cell>
          <cell r="DF22">
            <v>13754.197199466405</v>
          </cell>
          <cell r="DG22">
            <v>13754.197199466405</v>
          </cell>
          <cell r="DH22">
            <v>165050.36639359687</v>
          </cell>
        </row>
        <row r="23">
          <cell r="B23">
            <v>998</v>
          </cell>
          <cell r="C23" t="str">
            <v>Casterra RD</v>
          </cell>
          <cell r="P23" t="str">
            <v>CTO Projects</v>
          </cell>
          <cell r="Q23" t="str">
            <v>P276 - CTO Projects</v>
          </cell>
          <cell r="R23" t="str">
            <v>CPB</v>
          </cell>
          <cell r="S23" t="str">
            <v>P276</v>
          </cell>
          <cell r="BN23" t="str">
            <v>T203 - Microbes Package</v>
          </cell>
          <cell r="BO23" t="str">
            <v>Microbes Package Fixed cost</v>
          </cell>
          <cell r="BP23" t="str">
            <v>B40/22.P273.422.XXX-T203</v>
          </cell>
          <cell r="BQ23" t="str">
            <v>Fixed - Specific</v>
          </cell>
          <cell r="BR23" t="str">
            <v>422</v>
          </cell>
          <cell r="BS23" t="str">
            <v>B40</v>
          </cell>
          <cell r="BT23" t="str">
            <v>CPB</v>
          </cell>
          <cell r="BU23" t="str">
            <v>Evogene service</v>
          </cell>
          <cell r="BV23" t="str">
            <v>Period</v>
          </cell>
          <cell r="CP23" t="str">
            <v>ענת אור לרנר</v>
          </cell>
          <cell r="CQ23">
            <v>427</v>
          </cell>
          <cell r="CR23" t="str">
            <v>Product</v>
          </cell>
          <cell r="CS23" t="str">
            <v>Product Manager</v>
          </cell>
          <cell r="CT23" t="str">
            <v>ענת</v>
          </cell>
          <cell r="CU23" t="str">
            <v>אור לרנר</v>
          </cell>
          <cell r="CV23">
            <v>8938.4710744365129</v>
          </cell>
          <cell r="CW23">
            <v>8938.4710744365129</v>
          </cell>
          <cell r="CX23">
            <v>8938.4710744365129</v>
          </cell>
          <cell r="CY23">
            <v>8938.4710744365129</v>
          </cell>
          <cell r="CZ23">
            <v>8938.4710744365129</v>
          </cell>
          <cell r="DA23">
            <v>8938.4710744365129</v>
          </cell>
          <cell r="DB23">
            <v>8938.4710744365129</v>
          </cell>
          <cell r="DC23">
            <v>8938.4710744365129</v>
          </cell>
          <cell r="DD23">
            <v>8938.4710744365129</v>
          </cell>
          <cell r="DE23">
            <v>8938.4710744365129</v>
          </cell>
          <cell r="DF23">
            <v>8938.4710744365129</v>
          </cell>
          <cell r="DG23">
            <v>8938.4710744365129</v>
          </cell>
          <cell r="DH23">
            <v>107261.65289323816</v>
          </cell>
        </row>
        <row r="24">
          <cell r="B24">
            <v>417</v>
          </cell>
          <cell r="C24" t="str">
            <v>Chemistry Lab</v>
          </cell>
          <cell r="P24" t="str">
            <v>CPB projects Computational</v>
          </cell>
          <cell r="Q24" t="str">
            <v>P279 - CPB projects Computational</v>
          </cell>
          <cell r="R24" t="str">
            <v>CPB</v>
          </cell>
          <cell r="S24" t="str">
            <v>P279</v>
          </cell>
          <cell r="BN24" t="str">
            <v>T204 - Small Molecules</v>
          </cell>
          <cell r="BO24" t="str">
            <v>Small Molecules Fixed cost</v>
          </cell>
          <cell r="BP24" t="str">
            <v>B40/22.P274.422.XXX-T204</v>
          </cell>
          <cell r="BQ24" t="str">
            <v>Fixed - Specific</v>
          </cell>
          <cell r="BR24" t="str">
            <v>422</v>
          </cell>
          <cell r="BS24" t="str">
            <v>B40</v>
          </cell>
          <cell r="BT24" t="str">
            <v>CPB</v>
          </cell>
          <cell r="BU24" t="str">
            <v>Evogene service</v>
          </cell>
          <cell r="BV24" t="str">
            <v>Period</v>
          </cell>
          <cell r="CP24" t="str">
            <v xml:space="preserve"> </v>
          </cell>
          <cell r="DH24">
            <v>1146034.6632559954</v>
          </cell>
        </row>
        <row r="25">
          <cell r="B25">
            <v>602</v>
          </cell>
          <cell r="C25" t="str">
            <v>Corporate BD</v>
          </cell>
          <cell r="P25" t="str">
            <v>CPB projects Experimental</v>
          </cell>
          <cell r="Q25" t="str">
            <v>P281 - CPB projects Experimental</v>
          </cell>
          <cell r="R25" t="str">
            <v>CPB</v>
          </cell>
          <cell r="S25" t="str">
            <v>P281</v>
          </cell>
          <cell r="BN25" t="str">
            <v>T205 - Labs and GH package</v>
          </cell>
          <cell r="BO25" t="str">
            <v>Labs and GH package Fixed cost</v>
          </cell>
          <cell r="BP25" t="str">
            <v>B40/22.P275.422.XXX-T205</v>
          </cell>
          <cell r="BQ25" t="str">
            <v>Fixed - Specific</v>
          </cell>
          <cell r="BR25" t="str">
            <v>422</v>
          </cell>
          <cell r="BS25" t="str">
            <v>B40</v>
          </cell>
          <cell r="BT25" t="str">
            <v>CPB</v>
          </cell>
          <cell r="BU25" t="str">
            <v>Evogene service</v>
          </cell>
          <cell r="BV25" t="str">
            <v>Period</v>
          </cell>
          <cell r="CP25" t="str">
            <v xml:space="preserve"> </v>
          </cell>
        </row>
        <row r="26">
          <cell r="B26">
            <v>601</v>
          </cell>
          <cell r="C26" t="str">
            <v>Corporate Exec. MGMT</v>
          </cell>
          <cell r="P26" t="str">
            <v>Corteva</v>
          </cell>
          <cell r="Q26" t="str">
            <v>P143 - Corteva</v>
          </cell>
          <cell r="R26" t="str">
            <v>Lavie Bio</v>
          </cell>
          <cell r="S26" t="str">
            <v>P143</v>
          </cell>
          <cell r="BN26" t="str">
            <v>T206 - GR</v>
          </cell>
          <cell r="BW26">
            <v>0</v>
          </cell>
          <cell r="CP26" t="str">
            <v xml:space="preserve"> </v>
          </cell>
        </row>
        <row r="27">
          <cell r="B27">
            <v>411</v>
          </cell>
          <cell r="C27" t="str">
            <v>Data Generation</v>
          </cell>
          <cell r="P27" t="str">
            <v>Corteva - IA</v>
          </cell>
          <cell r="Q27" t="str">
            <v>P145-Corteva - IA</v>
          </cell>
          <cell r="R27" t="str">
            <v>Lavie Bio</v>
          </cell>
          <cell r="S27" t="str">
            <v>P145</v>
          </cell>
          <cell r="BN27" t="str">
            <v>T207 - CP</v>
          </cell>
          <cell r="BW27">
            <v>0</v>
          </cell>
        </row>
        <row r="28">
          <cell r="B28">
            <v>420</v>
          </cell>
          <cell r="C28" t="str">
            <v>DevOps</v>
          </cell>
          <cell r="P28" t="str">
            <v>Thrivus</v>
          </cell>
          <cell r="Q28" t="str">
            <v>P19 - Thrivus</v>
          </cell>
          <cell r="R28" t="str">
            <v>Lavie Bio</v>
          </cell>
          <cell r="S28" t="str">
            <v>P19</v>
          </cell>
          <cell r="BN28" t="str">
            <v>T208 - MB</v>
          </cell>
          <cell r="BW28">
            <v>0</v>
          </cell>
        </row>
        <row r="29">
          <cell r="B29">
            <v>650</v>
          </cell>
          <cell r="C29" t="str">
            <v>Evogene CSO</v>
          </cell>
          <cell r="P29" t="str">
            <v>Lavie_programs</v>
          </cell>
          <cell r="Q29" t="str">
            <v>P192-Lavie programs</v>
          </cell>
          <cell r="R29" t="str">
            <v>Lavie Bio</v>
          </cell>
          <cell r="S29" t="str">
            <v>P192</v>
          </cell>
          <cell r="BN29" t="str">
            <v>T209 - Computational</v>
          </cell>
          <cell r="BW29">
            <v>0</v>
          </cell>
        </row>
        <row r="30">
          <cell r="B30">
            <v>997</v>
          </cell>
          <cell r="C30" t="str">
            <v>Evogene INC</v>
          </cell>
          <cell r="P30" t="str">
            <v>ICL</v>
          </cell>
          <cell r="Q30" t="str">
            <v>P82 - ICL</v>
          </cell>
          <cell r="R30" t="str">
            <v>Lavie Bio</v>
          </cell>
          <cell r="S30" t="str">
            <v>P82</v>
          </cell>
          <cell r="BN30" t="str">
            <v>T210 - Experimnetal</v>
          </cell>
          <cell r="BW30">
            <v>0</v>
          </cell>
        </row>
        <row r="31">
          <cell r="B31">
            <v>607</v>
          </cell>
          <cell r="C31" t="str">
            <v>Finance</v>
          </cell>
          <cell r="P31" t="str">
            <v>Product-CP</v>
          </cell>
          <cell r="Q31" t="str">
            <v>P264 - Product-CP</v>
          </cell>
          <cell r="R31" t="str">
            <v>Product</v>
          </cell>
          <cell r="S31" t="str">
            <v>P264</v>
          </cell>
          <cell r="BN31" t="str">
            <v>T299 - Margin CPB</v>
          </cell>
          <cell r="BO31" t="str">
            <v>Margin CPB Fixed cost</v>
          </cell>
          <cell r="BP31" t="str">
            <v>B40/22.P997.422.XXX-T299</v>
          </cell>
          <cell r="BQ31" t="str">
            <v>Fixed - Specific</v>
          </cell>
          <cell r="BR31" t="str">
            <v>422</v>
          </cell>
          <cell r="BS31" t="str">
            <v>B40</v>
          </cell>
          <cell r="BT31" t="str">
            <v>CPB</v>
          </cell>
          <cell r="BU31" t="str">
            <v>Evogene service</v>
          </cell>
          <cell r="BV31" t="str">
            <v>Period</v>
          </cell>
          <cell r="BW31">
            <v>0</v>
          </cell>
        </row>
        <row r="32">
          <cell r="B32">
            <v>603</v>
          </cell>
          <cell r="C32" t="str">
            <v>HR</v>
          </cell>
          <cell r="P32" t="str">
            <v>Product- MB</v>
          </cell>
          <cell r="Q32" t="str">
            <v>P265 - Product- MB</v>
          </cell>
          <cell r="R32" t="str">
            <v>Product</v>
          </cell>
          <cell r="S32" t="str">
            <v>P265</v>
          </cell>
          <cell r="BN32" t="str">
            <v>T301 - Green House Controlled</v>
          </cell>
          <cell r="BO32" t="str">
            <v>Green House Controlled Fixed cost  Per annual 50 SQM</v>
          </cell>
          <cell r="BP32" t="str">
            <v>B90/22.P997.425.XXX-T301</v>
          </cell>
          <cell r="BQ32" t="str">
            <v>Annual per unit</v>
          </cell>
          <cell r="BR32" t="str">
            <v>425</v>
          </cell>
          <cell r="BS32" t="str">
            <v>B90</v>
          </cell>
          <cell r="BT32" t="str">
            <v>CPB</v>
          </cell>
          <cell r="BU32" t="str">
            <v>Evogene service</v>
          </cell>
          <cell r="BV32" t="str">
            <v>Period</v>
          </cell>
          <cell r="BW32">
            <v>1250</v>
          </cell>
        </row>
        <row r="33">
          <cell r="B33">
            <v>605</v>
          </cell>
          <cell r="C33" t="str">
            <v>IP</v>
          </cell>
          <cell r="P33" t="str">
            <v>Product- GR</v>
          </cell>
          <cell r="Q33" t="str">
            <v>P266 - Product- GR</v>
          </cell>
          <cell r="R33" t="str">
            <v>Product</v>
          </cell>
          <cell r="S33" t="str">
            <v>P266</v>
          </cell>
          <cell r="BN33" t="str">
            <v>T302 - Green House Non-Controlled</v>
          </cell>
          <cell r="BO33" t="str">
            <v>Green House Non-Controlled Fixed cost  Per annual 200 SQM</v>
          </cell>
          <cell r="BP33" t="str">
            <v>B90/22.P997.425.XXX-T302</v>
          </cell>
          <cell r="BQ33" t="str">
            <v>Annual per unit</v>
          </cell>
          <cell r="BR33" t="str">
            <v>425</v>
          </cell>
          <cell r="BS33" t="str">
            <v>B90</v>
          </cell>
          <cell r="BT33" t="str">
            <v>CPB</v>
          </cell>
          <cell r="BU33" t="str">
            <v>Evogene service</v>
          </cell>
          <cell r="BV33" t="str">
            <v>Period</v>
          </cell>
          <cell r="BW33">
            <v>0</v>
          </cell>
        </row>
        <row r="34">
          <cell r="B34">
            <v>609</v>
          </cell>
          <cell r="C34" t="str">
            <v>IP Part time</v>
          </cell>
          <cell r="P34" t="str">
            <v xml:space="preserve">Product- Upkeep GR </v>
          </cell>
          <cell r="Q34" t="str">
            <v xml:space="preserve">P272 - Product- Upkeep GR </v>
          </cell>
          <cell r="R34" t="str">
            <v>Product</v>
          </cell>
          <cell r="S34" t="str">
            <v>P272</v>
          </cell>
          <cell r="BN34" t="str">
            <v>T303 - Office utilities</v>
          </cell>
          <cell r="BO34" t="str">
            <v>Office utilities Fixed cost</v>
          </cell>
          <cell r="BP34" t="str">
            <v>B90/22.P997.425.XXX-T303</v>
          </cell>
          <cell r="BQ34" t="str">
            <v>Fixed - Specific</v>
          </cell>
          <cell r="BR34" t="str">
            <v>425</v>
          </cell>
          <cell r="BS34" t="str">
            <v>B90</v>
          </cell>
          <cell r="BT34" t="str">
            <v>Corporate</v>
          </cell>
          <cell r="BU34" t="str">
            <v>Evogene service</v>
          </cell>
          <cell r="BV34" t="str">
            <v>Period</v>
          </cell>
          <cell r="BW34">
            <v>85526.965466105132</v>
          </cell>
        </row>
        <row r="35">
          <cell r="B35">
            <v>606</v>
          </cell>
          <cell r="C35" t="str">
            <v>IR\PR</v>
          </cell>
          <cell r="P35" t="str">
            <v xml:space="preserve">Product- Upkeep MB </v>
          </cell>
          <cell r="Q35" t="str">
            <v xml:space="preserve">P273 - Product- Upkeep MB </v>
          </cell>
          <cell r="R35" t="str">
            <v>Product</v>
          </cell>
          <cell r="S35" t="str">
            <v>P273</v>
          </cell>
          <cell r="BN35" t="str">
            <v>T304 - Labs utilities</v>
          </cell>
          <cell r="BO35" t="str">
            <v>Labs utilities Fixed cost</v>
          </cell>
          <cell r="BP35" t="str">
            <v>B90/22.P997.425.XXX-T304</v>
          </cell>
          <cell r="BQ35" t="str">
            <v>Fixed - Specific</v>
          </cell>
          <cell r="BR35" t="str">
            <v>425</v>
          </cell>
          <cell r="BS35" t="str">
            <v>B90</v>
          </cell>
          <cell r="BT35" t="str">
            <v>Corporate</v>
          </cell>
          <cell r="BU35" t="str">
            <v>Evogene service</v>
          </cell>
          <cell r="BV35" t="str">
            <v>Period</v>
          </cell>
          <cell r="BW35">
            <v>25460.391753609627</v>
          </cell>
        </row>
        <row r="36">
          <cell r="B36">
            <v>421</v>
          </cell>
          <cell r="C36" t="str">
            <v>IT</v>
          </cell>
          <cell r="P36" t="str">
            <v xml:space="preserve">Product- Upkeep CP </v>
          </cell>
          <cell r="Q36" t="str">
            <v xml:space="preserve">P274 - Product- Upkeep CP </v>
          </cell>
          <cell r="R36" t="str">
            <v>Product</v>
          </cell>
          <cell r="S36" t="str">
            <v>P274</v>
          </cell>
          <cell r="BN36" t="str">
            <v>T399 - Margin Operation</v>
          </cell>
          <cell r="BO36" t="str">
            <v>Margin Operation Fixed cost</v>
          </cell>
          <cell r="BP36" t="str">
            <v>B90/22.P997.425.XXX-T399</v>
          </cell>
          <cell r="BQ36" t="str">
            <v>Fixed - Specific</v>
          </cell>
          <cell r="BR36" t="str">
            <v>425</v>
          </cell>
          <cell r="BS36" t="str">
            <v>B90</v>
          </cell>
          <cell r="BT36" t="str">
            <v>Corporate</v>
          </cell>
          <cell r="BU36" t="str">
            <v>Evogene service</v>
          </cell>
          <cell r="BV36" t="str">
            <v>Period</v>
          </cell>
          <cell r="BW36">
            <v>0</v>
          </cell>
        </row>
        <row r="37">
          <cell r="B37">
            <v>102</v>
          </cell>
          <cell r="C37" t="str">
            <v>Lavie Bio BD .LTD</v>
          </cell>
          <cell r="P37" t="str">
            <v>CrisprIL_WP1</v>
          </cell>
          <cell r="Q37" t="str">
            <v>P277 - CrisprIL_WP1</v>
          </cell>
          <cell r="R37" t="str">
            <v>Product</v>
          </cell>
          <cell r="S37" t="str">
            <v>P277</v>
          </cell>
          <cell r="BN37" t="str">
            <v>T901 - Finance &amp; Purchasing &amp;D&amp;O</v>
          </cell>
          <cell r="BP37" t="str">
            <v>B90/62.P997.607.XXX-T901</v>
          </cell>
          <cell r="BQ37" t="str">
            <v>Per 1 organic FTE</v>
          </cell>
          <cell r="BR37" t="str">
            <v>607</v>
          </cell>
          <cell r="BS37" t="str">
            <v>B90</v>
          </cell>
          <cell r="BT37" t="str">
            <v>Corporate</v>
          </cell>
          <cell r="BU37" t="str">
            <v>Evogene service</v>
          </cell>
          <cell r="BV37" t="str">
            <v>Period</v>
          </cell>
          <cell r="BW37">
            <v>35581.395348837214</v>
          </cell>
        </row>
        <row r="38">
          <cell r="B38">
            <v>105</v>
          </cell>
          <cell r="C38" t="str">
            <v>Lavie Bio Development .LTD</v>
          </cell>
          <cell r="P38" t="str">
            <v>CrisprIL_WP2</v>
          </cell>
          <cell r="Q38" t="str">
            <v>P283-CrisprIL_WP2</v>
          </cell>
          <cell r="R38" t="str">
            <v>Product</v>
          </cell>
          <cell r="S38" t="str">
            <v>P283</v>
          </cell>
          <cell r="BN38" t="str">
            <v>T902 - HR</v>
          </cell>
          <cell r="BP38" t="str">
            <v>B90/62.P997.603.XXX-T902</v>
          </cell>
          <cell r="BQ38" t="str">
            <v>Per 1 organic FTE</v>
          </cell>
          <cell r="BR38" t="str">
            <v>603</v>
          </cell>
          <cell r="BS38" t="str">
            <v>B90</v>
          </cell>
          <cell r="BT38" t="str">
            <v>Corporate</v>
          </cell>
          <cell r="BU38" t="str">
            <v>Evogene service</v>
          </cell>
          <cell r="BV38" t="str">
            <v>Period</v>
          </cell>
          <cell r="BW38">
            <v>30046.511627906977</v>
          </cell>
        </row>
        <row r="39">
          <cell r="B39">
            <v>101</v>
          </cell>
          <cell r="C39" t="str">
            <v xml:space="preserve"> Lavie Bio Exec. MGMT</v>
          </cell>
          <cell r="P39" t="str">
            <v>CrisprIL_WP4</v>
          </cell>
          <cell r="Q39" t="str">
            <v>P278 - CrisprIL_WP4</v>
          </cell>
          <cell r="R39" t="str">
            <v>Product</v>
          </cell>
          <cell r="S39" t="str">
            <v>P278</v>
          </cell>
          <cell r="BP39" t="str">
            <v>B90/22.P997.608.XXX-T903</v>
          </cell>
          <cell r="BQ39" t="str">
            <v>Per 1 organic FTE</v>
          </cell>
          <cell r="BR39" t="str">
            <v>608</v>
          </cell>
          <cell r="BS39" t="str">
            <v>B90</v>
          </cell>
          <cell r="BT39" t="str">
            <v>Corporate</v>
          </cell>
          <cell r="BU39" t="str">
            <v>Evogene service</v>
          </cell>
          <cell r="BV39" t="str">
            <v>Period</v>
          </cell>
        </row>
        <row r="40">
          <cell r="B40">
            <v>121</v>
          </cell>
          <cell r="C40" t="str">
            <v>Lavie Bio INC</v>
          </cell>
          <cell r="P40" t="str">
            <v>CrisprIL_Prediction</v>
          </cell>
          <cell r="Q40" t="str">
            <v>P280 - CrisprIL_Prediction</v>
          </cell>
          <cell r="R40" t="str">
            <v>Product</v>
          </cell>
          <cell r="S40" t="str">
            <v>P280</v>
          </cell>
          <cell r="BN40" t="str">
            <v>T904 - IT</v>
          </cell>
          <cell r="BP40" t="str">
            <v>B40/22.P97.421.XXX-T904</v>
          </cell>
          <cell r="BQ40" t="str">
            <v>Per 1 organic FTE</v>
          </cell>
          <cell r="BR40" t="str">
            <v>421</v>
          </cell>
          <cell r="BS40" t="str">
            <v>B40</v>
          </cell>
          <cell r="BT40" t="str">
            <v>CPB</v>
          </cell>
          <cell r="BU40" t="str">
            <v>Evogene service</v>
          </cell>
          <cell r="BV40" t="str">
            <v>Period</v>
          </cell>
        </row>
        <row r="41">
          <cell r="B41">
            <v>123</v>
          </cell>
          <cell r="C41" t="str">
            <v>Lavie Bio INC Admin</v>
          </cell>
          <cell r="P41" t="str">
            <v>Product general</v>
          </cell>
          <cell r="Q41" t="str">
            <v>P282-Product general</v>
          </cell>
          <cell r="R41" t="str">
            <v>Product</v>
          </cell>
          <cell r="S41" t="str">
            <v>P282</v>
          </cell>
          <cell r="BN41" t="str">
            <v>T905 - IP</v>
          </cell>
          <cell r="BP41" t="str">
            <v>B90/22.P997.609.XXX-T905</v>
          </cell>
          <cell r="BQ41" t="str">
            <v>Per 1 organic FTE</v>
          </cell>
          <cell r="BR41" t="str">
            <v>609</v>
          </cell>
          <cell r="BS41" t="str">
            <v>B90</v>
          </cell>
          <cell r="BT41" t="str">
            <v>Corporate</v>
          </cell>
          <cell r="BU41" t="str">
            <v>Evogene service</v>
          </cell>
          <cell r="BV41" t="str">
            <v>Period</v>
          </cell>
          <cell r="BW41">
            <v>492.81512513468635</v>
          </cell>
        </row>
        <row r="42">
          <cell r="B42">
            <v>122</v>
          </cell>
          <cell r="C42" t="str">
            <v>Lavie Bio BD .INC</v>
          </cell>
          <cell r="P42" t="str">
            <v>Services</v>
          </cell>
          <cell r="Q42" t="str">
            <v>P997 - Services</v>
          </cell>
          <cell r="S42" t="str">
            <v>P997</v>
          </cell>
          <cell r="BP42" t="str">
            <v>B90/62.P997.607.XXX-T911</v>
          </cell>
          <cell r="BQ42" t="str">
            <v>Per Company</v>
          </cell>
          <cell r="BR42" t="str">
            <v>607</v>
          </cell>
          <cell r="BS42" t="str">
            <v>B90</v>
          </cell>
          <cell r="BT42" t="str">
            <v>Corporate</v>
          </cell>
          <cell r="BU42" t="str">
            <v>Evogene service</v>
          </cell>
          <cell r="BV42" t="str">
            <v>Period</v>
          </cell>
        </row>
        <row r="43">
          <cell r="B43">
            <v>120</v>
          </cell>
          <cell r="C43" t="str">
            <v>Lavie Bio Management .INC</v>
          </cell>
          <cell r="P43" t="str">
            <v>Salaries</v>
          </cell>
          <cell r="Q43" t="str">
            <v>P998 - Salaries</v>
          </cell>
          <cell r="S43" t="str">
            <v>P998</v>
          </cell>
          <cell r="BN43" t="str">
            <v>T912 - IRPR</v>
          </cell>
          <cell r="BP43" t="str">
            <v>B90/62.P997.606.XXX-T912</v>
          </cell>
          <cell r="BQ43" t="str">
            <v>Fixed - Specific</v>
          </cell>
          <cell r="BR43" t="str">
            <v>606</v>
          </cell>
          <cell r="BS43" t="str">
            <v>B90</v>
          </cell>
          <cell r="BT43" t="str">
            <v>Corporate</v>
          </cell>
          <cell r="BU43" t="str">
            <v>Evogene service</v>
          </cell>
          <cell r="BV43" t="str">
            <v>Period</v>
          </cell>
          <cell r="BW43">
            <v>14000</v>
          </cell>
        </row>
        <row r="44">
          <cell r="B44">
            <v>108</v>
          </cell>
          <cell r="C44" t="str">
            <v>Lavie Bio Micro. Lab</v>
          </cell>
          <cell r="P44" t="str">
            <v>General</v>
          </cell>
          <cell r="Q44" t="str">
            <v>P999 - General</v>
          </cell>
          <cell r="S44" t="str">
            <v>P999</v>
          </cell>
          <cell r="BN44" t="str">
            <v>T914 - Marcom</v>
          </cell>
        </row>
        <row r="45">
          <cell r="B45">
            <v>103</v>
          </cell>
          <cell r="C45" t="str">
            <v>Lavie Bio PM</v>
          </cell>
          <cell r="BN45" t="str">
            <v>T913 - Legal</v>
          </cell>
          <cell r="BP45" t="str">
            <v>B90/62.P997.604.XXX-T913</v>
          </cell>
          <cell r="BQ45" t="str">
            <v>Fixed - Specific</v>
          </cell>
          <cell r="BR45" t="str">
            <v>604</v>
          </cell>
          <cell r="BS45" t="str">
            <v>B90</v>
          </cell>
          <cell r="BT45" t="str">
            <v>Corporate</v>
          </cell>
          <cell r="BU45" t="str">
            <v>Evogene service</v>
          </cell>
          <cell r="BV45" t="str">
            <v>Period</v>
          </cell>
          <cell r="BW45">
            <v>9000</v>
          </cell>
        </row>
        <row r="46">
          <cell r="B46">
            <v>109</v>
          </cell>
          <cell r="C46" t="str">
            <v xml:space="preserve">Lavie Bio Phyto. Lab </v>
          </cell>
          <cell r="BN46" t="str">
            <v>T999 - Margin Corporate</v>
          </cell>
          <cell r="BO46" t="str">
            <v>Margin Corporate Fixed cost</v>
          </cell>
          <cell r="BP46" t="str">
            <v>B90/62.P997.607.XXX-T999</v>
          </cell>
          <cell r="BQ46" t="str">
            <v>Fixed - Specific</v>
          </cell>
          <cell r="BR46" t="str">
            <v>607</v>
          </cell>
          <cell r="BS46" t="str">
            <v>B90</v>
          </cell>
          <cell r="BT46" t="str">
            <v>Corporate</v>
          </cell>
          <cell r="BU46" t="str">
            <v>Evogene service</v>
          </cell>
          <cell r="BV46" t="str">
            <v>Period</v>
          </cell>
          <cell r="BW46">
            <v>0</v>
          </cell>
        </row>
        <row r="47">
          <cell r="B47">
            <v>107</v>
          </cell>
          <cell r="C47" t="str">
            <v>Lavie Bio RD MNG</v>
          </cell>
          <cell r="BN47" t="str">
            <v>E998 - Revenue+Grant</v>
          </cell>
          <cell r="BT47" t="str">
            <v>Revenue+Grant</v>
          </cell>
          <cell r="BU47" t="str">
            <v>External</v>
          </cell>
          <cell r="BW47">
            <v>0</v>
          </cell>
        </row>
        <row r="48">
          <cell r="B48">
            <v>104</v>
          </cell>
          <cell r="C48" t="str">
            <v>Lavie Bio Research .LTD</v>
          </cell>
        </row>
        <row r="49">
          <cell r="B49">
            <v>106</v>
          </cell>
          <cell r="C49" t="str">
            <v>Lavie Bio Systems</v>
          </cell>
        </row>
        <row r="50">
          <cell r="B50">
            <v>604</v>
          </cell>
          <cell r="C50" t="str">
            <v>Legal</v>
          </cell>
        </row>
        <row r="51">
          <cell r="B51">
            <v>413</v>
          </cell>
          <cell r="C51" t="str">
            <v>Molecular Lab</v>
          </cell>
        </row>
        <row r="52">
          <cell r="B52">
            <v>425</v>
          </cell>
          <cell r="C52" t="str">
            <v>Operations</v>
          </cell>
        </row>
        <row r="53">
          <cell r="B53">
            <v>412</v>
          </cell>
          <cell r="C53" t="str">
            <v>PLM</v>
          </cell>
        </row>
        <row r="54">
          <cell r="B54">
            <v>415</v>
          </cell>
          <cell r="C54" t="str">
            <v>Phytopathology Lab</v>
          </cell>
        </row>
        <row r="55">
          <cell r="B55">
            <v>418</v>
          </cell>
          <cell r="C55" t="str">
            <v>Plant Growth</v>
          </cell>
        </row>
        <row r="56">
          <cell r="B56">
            <v>427</v>
          </cell>
          <cell r="C56" t="str">
            <v>Product Management</v>
          </cell>
        </row>
        <row r="57">
          <cell r="B57">
            <v>426</v>
          </cell>
          <cell r="C57" t="str">
            <v>Project Management</v>
          </cell>
        </row>
        <row r="58">
          <cell r="B58">
            <v>608</v>
          </cell>
          <cell r="C58" t="str">
            <v>Purchasing</v>
          </cell>
        </row>
        <row r="59">
          <cell r="B59">
            <v>419</v>
          </cell>
          <cell r="C59" t="str">
            <v>QA</v>
          </cell>
        </row>
        <row r="60">
          <cell r="B60">
            <v>428</v>
          </cell>
          <cell r="C60" t="str">
            <v>Seed Bank</v>
          </cell>
        </row>
        <row r="61">
          <cell r="B61">
            <v>406</v>
          </cell>
          <cell r="C61" t="str">
            <v>Software Development</v>
          </cell>
        </row>
        <row r="62">
          <cell r="B62">
            <v>416</v>
          </cell>
          <cell r="C62" t="str">
            <v>Tissue Culture</v>
          </cell>
        </row>
        <row r="63">
          <cell r="B63">
            <v>111</v>
          </cell>
          <cell r="C63" t="str">
            <v>Lavie Bio COO .LTD</v>
          </cell>
        </row>
        <row r="64">
          <cell r="B64">
            <v>124</v>
          </cell>
          <cell r="C64" t="str">
            <v>Lavie Bio COO .INC</v>
          </cell>
        </row>
        <row r="65">
          <cell r="B65">
            <v>125</v>
          </cell>
          <cell r="C65" t="str">
            <v>Lavie Bio US site</v>
          </cell>
        </row>
        <row r="66">
          <cell r="B66">
            <v>126</v>
          </cell>
          <cell r="C66" t="str">
            <v>Lavie Bio Commercial .LTD</v>
          </cell>
        </row>
        <row r="67">
          <cell r="B67">
            <v>127</v>
          </cell>
          <cell r="C67" t="str">
            <v>Lavie Bio Commercial .INC</v>
          </cell>
        </row>
        <row r="68">
          <cell r="B68">
            <v>128</v>
          </cell>
          <cell r="C68" t="str">
            <v>Lavie Bio Development .INC</v>
          </cell>
        </row>
        <row r="69">
          <cell r="B69">
            <v>129</v>
          </cell>
          <cell r="C69" t="str">
            <v>Lavie Bio Research .INC</v>
          </cell>
        </row>
        <row r="70">
          <cell r="B70">
            <v>130</v>
          </cell>
          <cell r="C70" t="str">
            <v>Lavie Bio Field Dev.LTD</v>
          </cell>
        </row>
        <row r="71">
          <cell r="B71">
            <v>131</v>
          </cell>
          <cell r="C71" t="str">
            <v>Lavie Bio Field Dev. .INC</v>
          </cell>
        </row>
        <row r="72">
          <cell r="B72">
            <v>132</v>
          </cell>
          <cell r="C72" t="str">
            <v>Lavie Bio Micro. Lab .LTD</v>
          </cell>
        </row>
        <row r="73">
          <cell r="B73">
            <v>133</v>
          </cell>
          <cell r="C73" t="str">
            <v>Lavie Bio Micro. Lab .INC</v>
          </cell>
        </row>
      </sheetData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גיליון הדפסה"/>
      <sheetName val="השקעות"/>
      <sheetName val="מימון"/>
      <sheetName val="מס"/>
      <sheetName val="הנחות"/>
      <sheetName val="מגבלות "/>
      <sheetName val="מחיר הון"/>
      <sheetName val="תוצאות"/>
      <sheetName val="דוחות"/>
      <sheetName val="הכנסות"/>
      <sheetName val="הוצאות "/>
      <sheetName val="תקנים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>
        <row r="2">
          <cell r="C2" t="str">
            <v xml:space="preserve">זקיפת סוציאליות       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2"/>
      <sheetName val="2002"/>
      <sheetName val="#REF"/>
      <sheetName val="Assum"/>
      <sheetName val="Assumpt"/>
      <sheetName val="FY99 - all"/>
      <sheetName val="Qry3"/>
      <sheetName val="Amort-3"/>
      <sheetName val="SdC Amort-14"/>
      <sheetName val="AV Amort-14"/>
      <sheetName val="Amort-16"/>
      <sheetName val="AV Amort-18"/>
      <sheetName val="SdC Amort-18"/>
      <sheetName val="Amort-6"/>
      <sheetName val="Amort-4"/>
      <sheetName val="AMORT12"/>
      <sheetName val="Amort8"/>
      <sheetName val="Amort-7"/>
      <sheetName val="AV Amort-13"/>
      <sheetName val="Amort-22"/>
      <sheetName val="AV &amp; SDC Amort Sched"/>
      <sheetName val="SdC Amort-23"/>
      <sheetName val="AV Amort-23"/>
      <sheetName val="assets"/>
      <sheetName val="AVI Total Detail"/>
      <sheetName val="2003 Summ'y"/>
      <sheetName val="P HC - Carlt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ocation Base"/>
      <sheetName val="Allocation worksheet"/>
      <sheetName val="Customer List - Valuation"/>
      <sheetName val="ROA"/>
      <sheetName val="Wkfc Summary"/>
      <sheetName val="Reno -Workforce"/>
      <sheetName val="SD - Workforce"/>
      <sheetName val="Primate Contract - Valuation"/>
      <sheetName val="China WACC"/>
      <sheetName val="SOP &amp; AAALAC - Valuation"/>
      <sheetName val="WACC"/>
      <sheetName val="Comp"/>
      <sheetName val="Eurodollar Spread"/>
      <sheetName val="INPUT"/>
      <sheetName val="Margin and Taxes"/>
      <sheetName val="Reno - Turnover Analysis"/>
      <sheetName val="San Diego Salary Data"/>
      <sheetName val="San Diego- Turnover Analysis"/>
      <sheetName val="San Diego - Training Co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nt Buttons"/>
      <sheetName val="IS Summary-96"/>
      <sheetName val="IS Summary-98"/>
      <sheetName val="IS Hist"/>
      <sheetName val="IS-Hist v. Proj"/>
      <sheetName val="IS Proj-96"/>
      <sheetName val="IS Proj-98"/>
      <sheetName val="BS Summary"/>
      <sheetName val="BS-Hist. v Proj."/>
      <sheetName val="summary"/>
      <sheetName val="Overall Summary"/>
      <sheetName val="PwC reports"/>
      <sheetName val="franchise"/>
      <sheetName val="Sheet1"/>
      <sheetName val="EOP (EBIT)"/>
      <sheetName val="ROA 96 "/>
      <sheetName val="Proj ROA 97"/>
      <sheetName val="royalty savings (midpoint)"/>
      <sheetName val="dcf"/>
      <sheetName val="Mkt Mult"/>
      <sheetName val="dcf '98"/>
      <sheetName val="ROA 97"/>
      <sheetName val="projected ROA"/>
      <sheetName val="royalty savings (low)"/>
      <sheetName val="royalty savings (high)"/>
      <sheetName val="ROA 98"/>
      <sheetName val="ProjROA 99"/>
      <sheetName val="macros"/>
    </sheetNames>
    <sheetDataSet>
      <sheetData sheetId="0" refreshError="1"/>
      <sheetData sheetId="1" refreshError="1">
        <row r="13">
          <cell r="B13" t="str">
            <v>Net Sales - Per Client's Projections</v>
          </cell>
          <cell r="C13">
            <v>230777.13500000001</v>
          </cell>
          <cell r="E13">
            <v>230777.13500000001</v>
          </cell>
          <cell r="G13">
            <v>1838030</v>
          </cell>
          <cell r="I13">
            <v>1947220</v>
          </cell>
          <cell r="K13">
            <v>1420911</v>
          </cell>
          <cell r="M13">
            <v>1387414</v>
          </cell>
          <cell r="O13">
            <v>1444993</v>
          </cell>
          <cell r="Q13">
            <v>1568620</v>
          </cell>
          <cell r="S13">
            <v>1679471</v>
          </cell>
          <cell r="U13">
            <v>1796493</v>
          </cell>
          <cell r="W13">
            <v>1916522</v>
          </cell>
          <cell r="Y13">
            <v>2030377</v>
          </cell>
          <cell r="AA13">
            <v>2140052</v>
          </cell>
          <cell r="AC13">
            <v>2257147</v>
          </cell>
          <cell r="AE13">
            <v>2370312</v>
          </cell>
          <cell r="AG13">
            <v>2479854</v>
          </cell>
          <cell r="AI13">
            <v>2596010</v>
          </cell>
        </row>
        <row r="15">
          <cell r="B15" t="str">
            <v>Annual Sales Growth Rate - Per Client's Projections</v>
          </cell>
          <cell r="C15" t="str">
            <v>n/a</v>
          </cell>
          <cell r="E15">
            <v>0</v>
          </cell>
          <cell r="G15" t="str">
            <v>n/a</v>
          </cell>
          <cell r="I15">
            <v>5.9405994461461553E-2</v>
          </cell>
          <cell r="M15">
            <v>-2.3574312536112418E-2</v>
          </cell>
          <cell r="O15">
            <v>4.1500950689556282E-2</v>
          </cell>
          <cell r="Q15">
            <v>8.5555431756416889E-2</v>
          </cell>
          <cell r="S15">
            <v>7.0667848172278891E-2</v>
          </cell>
          <cell r="U15">
            <v>6.967789262214108E-2</v>
          </cell>
          <cell r="W15">
            <v>6.6812951678631549E-2</v>
          </cell>
          <cell r="Y15">
            <v>5.9407092639687908E-2</v>
          </cell>
          <cell r="AA15">
            <v>5.4017061856000081E-2</v>
          </cell>
          <cell r="AC15">
            <v>5.4715960172930345E-2</v>
          </cell>
          <cell r="AE15">
            <v>5.0136300382739751E-2</v>
          </cell>
          <cell r="AG15">
            <v>4.6214169273918415E-2</v>
          </cell>
          <cell r="AI15">
            <v>4.6839854281744087E-2</v>
          </cell>
        </row>
        <row r="16">
          <cell r="B16" t="str">
            <v>Compound Annual Sales Growth Rate from 1993</v>
          </cell>
          <cell r="C16" t="str">
            <v>n/a</v>
          </cell>
          <cell r="E16">
            <v>0</v>
          </cell>
          <cell r="G16" t="str">
            <v>n/a</v>
          </cell>
          <cell r="I16">
            <v>5.9405994461461553E-2</v>
          </cell>
          <cell r="M16">
            <v>-2.3574312536112418E-2</v>
          </cell>
          <cell r="O16">
            <v>8.4385364370713756E-3</v>
          </cell>
          <cell r="Q16">
            <v>3.351541177544437E-2</v>
          </cell>
          <cell r="S16">
            <v>4.2680876124043587E-2</v>
          </cell>
          <cell r="U16">
            <v>4.8025212332724498E-2</v>
          </cell>
          <cell r="W16">
            <v>5.113336607765695E-2</v>
          </cell>
          <cell r="Y16">
            <v>5.2311359119681766E-2</v>
          </cell>
          <cell r="AA16">
            <v>5.2524420915166958E-2</v>
          </cell>
          <cell r="AC16">
            <v>5.2767700230557546E-2</v>
          </cell>
          <cell r="AE16">
            <v>5.2504263802330309E-2</v>
          </cell>
          <cell r="AG16">
            <v>5.1930877722867086E-2</v>
          </cell>
          <cell r="AI16">
            <v>5.1505681776583323E-2</v>
          </cell>
        </row>
        <row r="18">
          <cell r="B18" t="str">
            <v>PW Adjusted Net Sales (1)</v>
          </cell>
          <cell r="Q18">
            <v>1568620</v>
          </cell>
          <cell r="S18">
            <v>1679471</v>
          </cell>
          <cell r="U18">
            <v>1796493</v>
          </cell>
          <cell r="W18">
            <v>1916522</v>
          </cell>
          <cell r="Y18">
            <v>2030377</v>
          </cell>
          <cell r="AA18">
            <v>2140052</v>
          </cell>
          <cell r="AC18">
            <v>2257147</v>
          </cell>
          <cell r="AE18">
            <v>2370312</v>
          </cell>
          <cell r="AG18">
            <v>2479854</v>
          </cell>
          <cell r="AI18">
            <v>2596010</v>
          </cell>
        </row>
        <row r="20">
          <cell r="B20" t="str">
            <v>PW Adjusted Sales Growth Rate</v>
          </cell>
          <cell r="Q20">
            <v>8.5555431756416889E-2</v>
          </cell>
          <cell r="S20">
            <v>7.0667848172278891E-2</v>
          </cell>
          <cell r="U20">
            <v>6.967789262214108E-2</v>
          </cell>
          <cell r="W20">
            <v>6.6812951678631549E-2</v>
          </cell>
          <cell r="Y20">
            <v>5.9407092639687908E-2</v>
          </cell>
          <cell r="AA20">
            <v>5.4017061856000081E-2</v>
          </cell>
          <cell r="AC20">
            <v>5.4715960172930345E-2</v>
          </cell>
          <cell r="AE20">
            <v>5.0136300382739751E-2</v>
          </cell>
          <cell r="AG20">
            <v>4.6214169273918415E-2</v>
          </cell>
          <cell r="AI20">
            <v>4.6839854281744087E-2</v>
          </cell>
        </row>
        <row r="22">
          <cell r="B22" t="str">
            <v>Operating Margin (EBIT/Adjusted Sales)</v>
          </cell>
        </row>
        <row r="23">
          <cell r="B23" t="str">
            <v xml:space="preserve">   - Per Client's Projections (before OH)</v>
          </cell>
          <cell r="K23">
            <v>0.11358698750308781</v>
          </cell>
          <cell r="M23">
            <v>0.13223522322825054</v>
          </cell>
          <cell r="O23">
            <v>0.11749999999999999</v>
          </cell>
          <cell r="Q23">
            <v>0.14199999999999999</v>
          </cell>
          <cell r="S23">
            <v>0.14000000000000001</v>
          </cell>
          <cell r="U23">
            <v>0.13800000000000001</v>
          </cell>
          <cell r="W23">
            <v>0.13600000000000001</v>
          </cell>
          <cell r="Y23">
            <v>0.14099999999999999</v>
          </cell>
          <cell r="AA23">
            <v>0.14199999999999999</v>
          </cell>
          <cell r="AC23">
            <v>0.14099999999999999</v>
          </cell>
          <cell r="AE23">
            <v>0.14099999999999999</v>
          </cell>
          <cell r="AG23">
            <v>0.14000000000000001</v>
          </cell>
          <cell r="AI23">
            <v>0.14000000000000001</v>
          </cell>
        </row>
        <row r="25">
          <cell r="B25" t="str">
            <v>PW Adjusted EBIT/Adjusted Sales</v>
          </cell>
          <cell r="Q25">
            <v>0.14199999999999999</v>
          </cell>
          <cell r="S25">
            <v>0.14000000000000001</v>
          </cell>
          <cell r="U25">
            <v>0.13800000000000001</v>
          </cell>
          <cell r="W25">
            <v>0.13600000000000001</v>
          </cell>
          <cell r="Y25">
            <v>0.14099999999999999</v>
          </cell>
          <cell r="AA25">
            <v>0.14099999999999999</v>
          </cell>
          <cell r="AC25">
            <v>0.14099999999999999</v>
          </cell>
        </row>
        <row r="26">
          <cell r="K26" t="str">
            <v xml:space="preserve"> </v>
          </cell>
        </row>
        <row r="27">
          <cell r="B27" t="str">
            <v>Operating Income (EBIT)</v>
          </cell>
          <cell r="C27" t="e">
            <v>#REF!</v>
          </cell>
          <cell r="E27" t="e">
            <v>#REF!</v>
          </cell>
          <cell r="G27">
            <v>386780</v>
          </cell>
          <cell r="I27">
            <v>421550</v>
          </cell>
          <cell r="K27">
            <v>161397</v>
          </cell>
          <cell r="M27">
            <v>183465</v>
          </cell>
          <cell r="O27">
            <v>169747</v>
          </cell>
          <cell r="Q27">
            <v>223098</v>
          </cell>
          <cell r="S27">
            <v>235027</v>
          </cell>
          <cell r="U27">
            <v>247821</v>
          </cell>
          <cell r="W27">
            <v>260981</v>
          </cell>
          <cell r="Y27">
            <v>285404</v>
          </cell>
          <cell r="AA27">
            <v>304268</v>
          </cell>
          <cell r="AC27">
            <v>318055</v>
          </cell>
          <cell r="AE27">
            <v>333106</v>
          </cell>
          <cell r="AG27">
            <v>348093</v>
          </cell>
          <cell r="AI27">
            <v>364364</v>
          </cell>
        </row>
        <row r="28">
          <cell r="B28" t="str">
            <v>less:  Corporate Overhead (2)</v>
          </cell>
          <cell r="K28">
            <v>-14209.11</v>
          </cell>
          <cell r="M28">
            <v>-15261.553999999998</v>
          </cell>
          <cell r="O28">
            <v>-24564.881000000001</v>
          </cell>
          <cell r="Q28">
            <v>-28235</v>
          </cell>
          <cell r="S28">
            <v>-50384</v>
          </cell>
          <cell r="U28">
            <v>-53895</v>
          </cell>
          <cell r="W28">
            <v>-57496</v>
          </cell>
          <cell r="Y28">
            <v>-60911</v>
          </cell>
          <cell r="AA28">
            <v>-64202</v>
          </cell>
          <cell r="AC28">
            <v>-67714</v>
          </cell>
          <cell r="AE28">
            <v>-71109</v>
          </cell>
          <cell r="AG28">
            <v>-74396</v>
          </cell>
          <cell r="AI28">
            <v>-77880</v>
          </cell>
        </row>
        <row r="29">
          <cell r="B29" t="str">
            <v>Adjusted EBIT - After Corporate Overhead Expense</v>
          </cell>
          <cell r="K29">
            <v>147187.89000000001</v>
          </cell>
          <cell r="M29">
            <v>168203.446</v>
          </cell>
          <cell r="O29">
            <v>145182.11900000001</v>
          </cell>
          <cell r="Q29">
            <v>194863</v>
          </cell>
          <cell r="S29">
            <v>184643</v>
          </cell>
          <cell r="U29">
            <v>193926</v>
          </cell>
          <cell r="W29">
            <v>203485</v>
          </cell>
          <cell r="Y29">
            <v>224493</v>
          </cell>
          <cell r="AA29">
            <v>240066</v>
          </cell>
          <cell r="AC29">
            <v>250341</v>
          </cell>
          <cell r="AE29">
            <v>261997</v>
          </cell>
          <cell r="AG29">
            <v>273697</v>
          </cell>
          <cell r="AI29">
            <v>286484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 Information"/>
      <sheetName val="FTE (Resources)"/>
      <sheetName val="Expense"/>
      <sheetName val="OPEX (Expense)"/>
      <sheetName val="CAPEX (Fixed Assets)"/>
      <sheetName val="Total Project PIVOT"/>
      <sheetName val="FTE PIVOT"/>
      <sheetName val="Expense flat file (2)"/>
      <sheetName val="Sheet2"/>
      <sheetName val="Sheet3"/>
      <sheetName val="data"/>
      <sheetName val="Sheet1"/>
    </sheetNames>
    <sheetDataSet>
      <sheetData sheetId="0"/>
      <sheetData sheetId="1">
        <row r="4">
          <cell r="A4" t="str">
            <v>Evogene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Z1" t="str">
            <v>Fixed Assets</v>
          </cell>
        </row>
        <row r="3">
          <cell r="A3">
            <v>0</v>
          </cell>
          <cell r="T3" t="str">
            <v>Monsanto</v>
          </cell>
          <cell r="U3">
            <v>0</v>
          </cell>
          <cell r="AZ3">
            <v>0</v>
          </cell>
        </row>
        <row r="4">
          <cell r="AZ4" t="str">
            <v>Computers</v>
          </cell>
        </row>
        <row r="5">
          <cell r="AZ5" t="str">
            <v>Constructions</v>
          </cell>
        </row>
        <row r="6">
          <cell r="AZ6" t="str">
            <v>Equipment</v>
          </cell>
        </row>
      </sheetData>
      <sheetData sheetId="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W"/>
      <sheetName val="biolab budget"/>
      <sheetName val="Biolab new building blocks"/>
    </sheetNames>
    <sheetDataSet>
      <sheetData sheetId="0"/>
      <sheetData sheetId="1">
        <row r="1">
          <cell r="A1" t="str">
            <v>ID</v>
          </cell>
          <cell r="B1" t="str">
            <v>Task</v>
          </cell>
          <cell r="C1" t="str">
            <v xml:space="preserve">Technician </v>
          </cell>
          <cell r="D1" t="str">
            <v xml:space="preserve">Biologist \ Agronom </v>
          </cell>
          <cell r="E1" t="str">
            <v xml:space="preserve">Senior \ Researcher </v>
          </cell>
          <cell r="F1" t="str">
            <v>Hourly employees</v>
          </cell>
          <cell r="G1" t="str">
            <v>Outsourcing</v>
          </cell>
          <cell r="H1" t="str">
            <v>Sequencing&amp;Primers</v>
          </cell>
          <cell r="I1" t="str">
            <v>Synthetic genes</v>
          </cell>
          <cell r="J1" t="str">
            <v>Disposale plasticware</v>
          </cell>
          <cell r="K1" t="str">
            <v>Protein, DNA and RNA purification</v>
          </cell>
          <cell r="L1" t="str">
            <v>Lab Enzymes and antibodies</v>
          </cell>
        </row>
        <row r="2">
          <cell r="A2">
            <v>4</v>
          </cell>
          <cell r="B2" t="str">
            <v>3 cycles at yad mordechai- R&amp;D support,  running and sample handling,  selective culturing, data production analysis and integration Calculated as 6 sampling dates -1/month from April to September + 40 samples for 16S NGS</v>
          </cell>
          <cell r="C2">
            <v>4.4130718954248409E-2</v>
          </cell>
          <cell r="D2">
            <v>0.14438398692810483</v>
          </cell>
          <cell r="E2">
            <v>3.2260565210932908E-2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2773.6000000000004</v>
          </cell>
        </row>
        <row r="3">
          <cell r="A3">
            <v>5</v>
          </cell>
          <cell r="B3" t="str">
            <v xml:space="preserve"> 15 aggragates for 15 bioassays in the farm- R&amp;D support,  running and sample handling, selective culturing , data production analysis and integration Calculated as 15 preparations of aggregates + 6 succesful experiment which require culturing + 27 samples for 16S NGS + 10 samples for eukaryotic-prokaryotic seperation (based on complete kits price, although # of samples is low)</v>
          </cell>
          <cell r="C3">
            <v>3.8887867647058816E-2</v>
          </cell>
          <cell r="D3">
            <v>0.14522135695187166</v>
          </cell>
          <cell r="E3">
            <v>3.7624032141265654E-2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3216.9</v>
          </cell>
        </row>
        <row r="4">
          <cell r="A4">
            <v>6</v>
          </cell>
          <cell r="B4" t="str">
            <v xml:space="preserve"> feeding assay of 1300 isolates at IL + R&amp;D support + Data generation- seq 40 positive isolates (40 libraries + 1 lane of 150/250X2) All steps of the assay are done in Biolab exepct for addition of insects (will be in PG budget) + additional activity for re-screening of the 40 intresting bacteria+100 sanger 16S before NGS</v>
          </cell>
          <cell r="C4">
            <v>0.26496621527777803</v>
          </cell>
          <cell r="D4">
            <v>0.46</v>
          </cell>
          <cell r="E4">
            <v>0.1810145212418301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L4">
            <v>6654.802083333333</v>
          </cell>
        </row>
        <row r="5">
          <cell r="A5">
            <v>8</v>
          </cell>
          <cell r="B5" t="str">
            <v>DR2b - 100 bacterial genes from GS Assumptions: 2300bpX0.16$, 60% are cloned into a 2nd backbone during the 1st order. 10% of the genes are cloned into a 2nd vector in a different order (at 120$/subcloning)</v>
          </cell>
          <cell r="C5">
            <v>1.893939393939394E-3</v>
          </cell>
          <cell r="D5">
            <v>1.893939393939394E-2</v>
          </cell>
          <cell r="E5">
            <v>1.1363636363636362E-2</v>
          </cell>
          <cell r="F5">
            <v>0</v>
          </cell>
          <cell r="G5">
            <v>0</v>
          </cell>
          <cell r="H5">
            <v>0</v>
          </cell>
          <cell r="I5">
            <v>41200</v>
          </cell>
          <cell r="J5">
            <v>0</v>
          </cell>
          <cell r="K5">
            <v>0</v>
          </cell>
          <cell r="L5">
            <v>0</v>
          </cell>
        </row>
        <row r="6">
          <cell r="A6">
            <v>13</v>
          </cell>
          <cell r="B6" t="str">
            <v>DR4 - 200 bacterial genes from GS. Assumptions: 2300bpX0.16$, 60% are cloned into a 2nd backbone during the 1st order. 10% of the genes are cloned into a 2nd vector in a different order (at 120$/subcloning)</v>
          </cell>
          <cell r="C6">
            <v>1.893939393939394E-3</v>
          </cell>
          <cell r="D6">
            <v>2.6515151515151516E-2</v>
          </cell>
          <cell r="E6">
            <v>1.1363636363636362E-2</v>
          </cell>
          <cell r="F6">
            <v>0</v>
          </cell>
          <cell r="G6">
            <v>0</v>
          </cell>
          <cell r="H6">
            <v>0</v>
          </cell>
          <cell r="I6">
            <v>82400</v>
          </cell>
          <cell r="J6">
            <v>0</v>
          </cell>
          <cell r="K6">
            <v>0</v>
          </cell>
          <cell r="L6">
            <v>0</v>
          </cell>
        </row>
        <row r="7">
          <cell r="A7">
            <v>14</v>
          </cell>
          <cell r="B7" t="str">
            <v>DR5 - 200 bacterial genes from GS Assumptions: 2300bpX0.16$, 60% are cloned into a 2nd backbone during the 1st order. 10% of the genes are cloned into a 2nd vector in a different order (at 120$/subcloning)</v>
          </cell>
          <cell r="C7">
            <v>1.893939393939394E-3</v>
          </cell>
          <cell r="D7">
            <v>2.6515151515151516E-2</v>
          </cell>
          <cell r="E7">
            <v>1.1363636363636362E-2</v>
          </cell>
          <cell r="F7">
            <v>0</v>
          </cell>
          <cell r="G7">
            <v>0</v>
          </cell>
          <cell r="H7">
            <v>0</v>
          </cell>
          <cell r="I7">
            <v>82400</v>
          </cell>
          <cell r="J7">
            <v>0</v>
          </cell>
          <cell r="K7">
            <v>0</v>
          </cell>
          <cell r="L7">
            <v>0</v>
          </cell>
        </row>
        <row r="8">
          <cell r="A8">
            <v>15</v>
          </cell>
          <cell r="B8" t="str">
            <v>DR6 - 200 bacterial genes from GS Assumptions: 2300bpX0.16$, 60% are cloned into a 2nd backbone during the 1st order. 10% of the genes are cloned into a 2nd vector in a different order (at 120$/subcloning)</v>
          </cell>
          <cell r="C8">
            <v>1.893939393939394E-3</v>
          </cell>
          <cell r="D8">
            <v>2.6515151515151516E-2</v>
          </cell>
          <cell r="E8">
            <v>1.1363636363636362E-2</v>
          </cell>
          <cell r="F8">
            <v>0</v>
          </cell>
          <cell r="G8">
            <v>0</v>
          </cell>
          <cell r="H8">
            <v>0</v>
          </cell>
          <cell r="I8">
            <v>82400</v>
          </cell>
          <cell r="J8">
            <v>0</v>
          </cell>
          <cell r="K8">
            <v>0</v>
          </cell>
          <cell r="L8">
            <v>0</v>
          </cell>
        </row>
        <row r="9">
          <cell r="A9">
            <v>17</v>
          </cell>
          <cell r="B9" t="str">
            <v>30 genes in 4 different vectors 10 IN JAN 10 IN APRIL 10 IN JULY. Assumption: All are synthetic genes, 2300 bp/gene.Total of 120 constructs (4X30): pricing for sucbcloning: 2 plasmid subcloning = 20$, additional 2 plasmids = 49$. Transformation into Agro - 60 plasmids. Protein expression assay for 60 transformations X12 events = 720 samples</v>
          </cell>
          <cell r="C9">
            <v>0.13609090909090921</v>
          </cell>
          <cell r="D9">
            <v>9.8709090909090927E-2</v>
          </cell>
          <cell r="E9">
            <v>2.9245454545454547E-2</v>
          </cell>
          <cell r="F9">
            <v>0</v>
          </cell>
          <cell r="G9">
            <v>0</v>
          </cell>
          <cell r="H9">
            <v>0</v>
          </cell>
          <cell r="I9">
            <v>15180</v>
          </cell>
          <cell r="J9">
            <v>0</v>
          </cell>
          <cell r="K9">
            <v>0</v>
          </cell>
          <cell r="L9">
            <v>10296</v>
          </cell>
        </row>
        <row r="10">
          <cell r="A10">
            <v>24</v>
          </cell>
          <cell r="B10" t="str">
            <v>Development of EG in IL</v>
          </cell>
          <cell r="C10">
            <v>0</v>
          </cell>
          <cell r="D10">
            <v>0</v>
          </cell>
          <cell r="E10">
            <v>0.2</v>
          </cell>
          <cell r="F10">
            <v>0</v>
          </cell>
          <cell r="G10">
            <v>5000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5000</v>
          </cell>
        </row>
        <row r="11">
          <cell r="A11">
            <v>25</v>
          </cell>
          <cell r="B11" t="str">
            <v>100 genes selection and cloning (1 vector) to arabidopsis for phytotoxicity module dev , 5 events for phenotyping , propgation to T2 seeds , phenotype on T1 and T2, collect seeds+  Protein expression analysis (100 X5)
Assumption: All are synthetic genes, 2300 bp/gene. 1 subcloning. 1 transformation to Agro (total of 100 transformations). 500 protein expression tests</v>
          </cell>
          <cell r="C11">
            <v>0.1080681818181819</v>
          </cell>
          <cell r="D11">
            <v>9.3871212121212133E-2</v>
          </cell>
          <cell r="E11">
            <v>1.7056818181818183E-2</v>
          </cell>
          <cell r="F11">
            <v>0</v>
          </cell>
          <cell r="G11">
            <v>0</v>
          </cell>
          <cell r="H11">
            <v>0</v>
          </cell>
          <cell r="I11">
            <v>38800</v>
          </cell>
          <cell r="J11">
            <v>0</v>
          </cell>
          <cell r="K11">
            <v>0</v>
          </cell>
          <cell r="L11">
            <v>8550</v>
          </cell>
        </row>
        <row r="12">
          <cell r="A12">
            <v>34</v>
          </cell>
          <cell r="B12" t="str">
            <v xml:space="preserve">SGF, alergenic, hemolytic, MOA (outsource or inhouse) Arnon will add expenses, add FTE for development </v>
          </cell>
          <cell r="C12">
            <v>0</v>
          </cell>
          <cell r="D12">
            <v>0</v>
          </cell>
          <cell r="E12">
            <v>0.2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 t="str">
            <v>?</v>
          </cell>
        </row>
        <row r="13">
          <cell r="A13">
            <v>35</v>
          </cell>
          <cell r="B13" t="str">
            <v>develop tools to optimize efficacy of validated toxins Cloning of 200 constructs (100 per toxin) - 100 simple mutations in the range of 20bp (99$), 100 "new constructs" to cover more complicated mutations which require new synthesis. Requires BI+IMS dev</v>
          </cell>
          <cell r="C13">
            <v>5.6818181818181811E-3</v>
          </cell>
          <cell r="D13">
            <v>2.6515151515151516E-2</v>
          </cell>
          <cell r="E13">
            <v>1.1363636363636362E-2</v>
          </cell>
          <cell r="F13">
            <v>0</v>
          </cell>
          <cell r="G13">
            <v>0</v>
          </cell>
          <cell r="H13">
            <v>0</v>
          </cell>
          <cell r="I13">
            <v>48700</v>
          </cell>
          <cell r="J13">
            <v>0</v>
          </cell>
          <cell r="K13">
            <v>0</v>
          </cell>
          <cell r="L13">
            <v>0</v>
          </cell>
        </row>
        <row r="14">
          <cell r="A14">
            <v>58</v>
          </cell>
          <cell r="B14" t="str">
            <v>transfer 30 events to green house per gene (360 evenets total ) and reach T1 with 20 events per gene
biolab-  including protein expression analysis All work is done in 2017 - 240 protein expression tests+50 copy# tests by Taqman</v>
          </cell>
          <cell r="C14">
            <v>4.3928345959596E-2</v>
          </cell>
          <cell r="D14">
            <v>2.2018886784511794E-2</v>
          </cell>
          <cell r="E14">
            <v>2.6310500841750855E-3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4048.5</v>
          </cell>
        </row>
        <row r="15">
          <cell r="A15">
            <v>59</v>
          </cell>
          <cell r="B15" t="str">
            <v>transfer 15 event per gene to green house  (33 contructs*20= 660) and reach T2 with 10 events per gene
biolab- including protein expression 
All work is done in 2017 - 330 protein expression tests+50 copy# tests by Taqman</v>
          </cell>
          <cell r="C15">
            <v>5.943970959595965E-2</v>
          </cell>
          <cell r="D15">
            <v>2.8666614057239071E-2</v>
          </cell>
          <cell r="E15">
            <v>3.2958228114478134E-3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5155.5</v>
          </cell>
        </row>
        <row r="16">
          <cell r="A16">
            <v>68</v>
          </cell>
          <cell r="B16" t="str">
            <v>from gene synthesis through protein expression to spore assay. Order 200 genes (1500 bp) in 2 vectors. Express all for spores assay (1 periplasmic+0.5 cytosolic prep per protein)</v>
          </cell>
          <cell r="C16">
            <v>0.19128787878787878</v>
          </cell>
          <cell r="D16">
            <v>0.21590909090909091</v>
          </cell>
          <cell r="E16">
            <v>0.10606060606060616</v>
          </cell>
          <cell r="F16">
            <v>0</v>
          </cell>
          <cell r="G16">
            <v>0</v>
          </cell>
          <cell r="H16">
            <v>0</v>
          </cell>
          <cell r="I16">
            <v>56000</v>
          </cell>
          <cell r="J16">
            <v>0</v>
          </cell>
          <cell r="K16">
            <v>0</v>
          </cell>
          <cell r="L16">
            <v>17632</v>
          </cell>
        </row>
        <row r="17">
          <cell r="A17">
            <v>69</v>
          </cell>
          <cell r="B17" t="str">
            <v>cloning left over from 2016- biolab to estimate. 20% of the project is left to 2017. No GA. Calculated as regular genes X 110% due to high rate of RACE</v>
          </cell>
          <cell r="C17">
            <v>2.9107692307692338E-2</v>
          </cell>
          <cell r="D17">
            <v>7.1896000000000002E-2</v>
          </cell>
          <cell r="E17">
            <v>2.037538461538458E-2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3500.2000000000003</v>
          </cell>
        </row>
        <row r="18">
          <cell r="A18">
            <v>72</v>
          </cell>
          <cell r="B18" t="str">
            <v>Cloning of 15 stacking constructs + 5 new genes (all the rest are old genes)</v>
          </cell>
          <cell r="C18">
            <v>5.2884615384615398E-2</v>
          </cell>
          <cell r="D18">
            <v>0.14299999999999999</v>
          </cell>
          <cell r="E18">
            <v>2.5769230769230749E-2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4730</v>
          </cell>
        </row>
        <row r="19">
          <cell r="A19">
            <v>77</v>
          </cell>
          <cell r="B19" t="str">
            <v>RNA seq, 3-4 events with and without the fungus+ WT control =&gt; 30 plant RNA extractions. 30 RNA extractions</v>
          </cell>
          <cell r="C19">
            <v>7.3863636363636302E-3</v>
          </cell>
          <cell r="D19">
            <v>3.0776515151515198E-3</v>
          </cell>
          <cell r="E19">
            <v>4.9242424242424202E-4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810</v>
          </cell>
        </row>
        <row r="20">
          <cell r="A20">
            <v>100</v>
          </cell>
          <cell r="B20" t="str">
            <v>isolating 1000 new bacteria from environmantal sampels- in the Biolab.  6 times along the year. Same processing as aggregate + picking. Isolated bacteria will be used in #101. Was calculated as 6 positive aggregates (~1200 isolates)</v>
          </cell>
          <cell r="C20">
            <v>0</v>
          </cell>
          <cell r="D20">
            <v>0.11764705882352945</v>
          </cell>
          <cell r="E20">
            <v>2.3529411764705892E-2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1183.8000000000002</v>
          </cell>
        </row>
        <row r="21">
          <cell r="A21">
            <v>101</v>
          </cell>
          <cell r="B21" t="str">
            <v>who does the fungul screens=&gt; biolab to define with tidhar the assay set up and quantity Growth of 20 bacteria per batch X 50 batches including isolation sowing, seperation of mixed wells from the bacteria bank, glycerol stock prep and bank update. Activity includes 200 Sanger 16S reactions for positive bacteria.</v>
          </cell>
          <cell r="C21">
            <v>0</v>
          </cell>
          <cell r="D21">
            <v>0.3830167483660129</v>
          </cell>
          <cell r="E21">
            <v>7.6603349673202592E-2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7153.605263157895</v>
          </cell>
        </row>
        <row r="22">
          <cell r="A22">
            <v>102</v>
          </cell>
          <cell r="B22" t="str">
            <v>biolab=&gt; to preapre samples and take out to sub contractor. Positive bacteria from the screen - check by proteomics. Growing 20 bacteria icluding re-isolation and 16S for proteomics. Proteomics OS budget to be defined by Tidhar</v>
          </cell>
          <cell r="C22">
            <v>0</v>
          </cell>
          <cell r="D22">
            <v>9.478145424836602E-3</v>
          </cell>
          <cell r="E22">
            <v>1.8956290849673205E-3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371.34999999999997</v>
          </cell>
        </row>
      </sheetData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CBEA2BE-9117-4C62-B68B-F7109590D797}" name="tblSOW9" displayName="tblSOW9" ref="A3:BW305" totalsRowCount="1" headerRowDxfId="171" dataDxfId="170">
  <autoFilter ref="A3:BW304" xr:uid="{00000000-0009-0000-0100-000001000000}"/>
  <tableColumns count="75">
    <tableColumn id="1" xr3:uid="{788D2546-8AC2-43C6-BA5C-521AD1898461}" name="Budget Item" dataDxfId="168" totalsRowDxfId="169">
      <calculatedColumnFormula>CONCATENATE(INDEX([32]Parameters!$U$1:$V$20,MATCH(C4,[32]Parameters!$V$1:$V$20,0),1),"/",VLOOKUP(D4,[32]Parameters!$CG$1:$CH$12,2,0),".",E4,".",H4,".",LEFT(J4,3),"-",LEFT(K4,4))</calculatedColumnFormula>
    </tableColumn>
    <tableColumn id="2" xr3:uid="{8F015C06-A99E-4545-ADEA-A2789493AB74}" name="Company" dataDxfId="166" totalsRowDxfId="167"/>
    <tableColumn id="3" xr3:uid="{E76D6B87-0AA9-4366-A035-FE3721EEEA9D}" name="Division" dataDxfId="164" totalsRowDxfId="165"/>
    <tableColumn id="4" xr3:uid="{20B2024B-9425-428D-9EB0-3156F099296F}" name="FinReport" dataDxfId="162" totalsRowDxfId="163" dataCellStyle="Neutral"/>
    <tableColumn id="5" xr3:uid="{A1C392C5-B0F6-49EE-B0DF-88A24E2EEDDF}" name="Project Code" dataDxfId="160" totalsRowDxfId="161" dataCellStyle="Neutral">
      <calculatedColumnFormula>VLOOKUP(F4,[32]Parameters!P:T,4,0)</calculatedColumnFormula>
    </tableColumn>
    <tableColumn id="6" xr3:uid="{97E2B301-1B7A-4DF7-A9F1-08872586A684}" name="Project Name" dataDxfId="158" totalsRowDxfId="159"/>
    <tableColumn id="75" xr3:uid="{4B762EF6-8234-4947-A9DD-1BC96E33D5E9}" name="Activity" dataDxfId="156" totalsRowDxfId="157"/>
    <tableColumn id="14" xr3:uid="{68DA2256-FC89-4F96-B533-96077D574EBC}" name="DepartmentNo." dataDxfId="154" totalsRowDxfId="155" dataCellStyle="Comma">
      <calculatedColumnFormula>INDEX([32]Parameters!$B:$C,MATCH(I4,[32]Parameters!$C:$C,0),1)</calculatedColumnFormula>
    </tableColumn>
    <tableColumn id="15" xr3:uid="{70DA77A6-81CF-40E2-A318-16B22DCEF4C3}" name="Department" dataDxfId="152" totalsRowDxfId="153"/>
    <tableColumn id="17" xr3:uid="{A78A2CEA-F045-4C78-BCCB-77AB224C7D80}" name="Nominal" dataDxfId="150" totalsRowDxfId="151"/>
    <tableColumn id="18" xr3:uid="{DC10A4A9-1FB7-4EE9-951C-94C35178AD80}" name="Ending" dataDxfId="148" totalsRowDxfId="149"/>
    <tableColumn id="8" xr3:uid="{D4ABD791-0FF9-45E2-8348-A1F4F588051E}" name="Title" dataDxfId="146" totalsRowDxfId="147">
      <calculatedColumnFormula>IFERROR(VLOOKUP(tblSOW9[[#This Row],[Employee name ]],[32]Parameters!CP:CS,4,0),"")</calculatedColumnFormula>
    </tableColumn>
    <tableColumn id="9" xr3:uid="{1E45F8C5-2C07-4EB7-BFB0-54108EA46C6A}" name="Employee name " dataDxfId="144" totalsRowDxfId="145"/>
    <tableColumn id="10" xr3:uid="{B2B09BF7-986E-494A-860A-C04B885CBB61}" name="Comment - Division" dataDxfId="142" totalsRowDxfId="143"/>
    <tableColumn id="11" xr3:uid="{7FA008AE-4DE3-488C-ABF3-1F28F4AA23CD}" name="Comment - CPB" dataDxfId="140" totalsRowDxfId="141"/>
    <tableColumn id="12" xr3:uid="{FC7FAD5F-99E2-49B1-A622-46C19A738406}" name="Start Timeframe" dataDxfId="138" totalsRowDxfId="139"/>
    <tableColumn id="13" xr3:uid="{E20E0C91-0BF0-4E87-941E-B34E84FCA88B}" name="End Timeframe" dataDxfId="136" totalsRowDxfId="137"/>
    <tableColumn id="16" xr3:uid="{22A4199D-5F28-4090-955D-29C37282B5A7}" name="Employee Name" dataDxfId="134" totalsRowDxfId="135"/>
    <tableColumn id="19" xr3:uid="{CDBCBB34-803E-4318-ABDD-17B08B12BB64}" name="Duration" dataDxfId="132" totalsRowDxfId="133">
      <calculatedColumnFormula>IF(OR(P4="",Q4=""),0,MONTH(Q4)-MONTH(P4)+1)</calculatedColumnFormula>
    </tableColumn>
    <tableColumn id="20" xr3:uid="{8903D7A8-88D8-4795-88EA-F3DC9472F07D}" name="% work on project" dataDxfId="130" totalsRowDxfId="131"/>
    <tableColumn id="21" xr3:uid="{F3B5EAFD-5BF0-410D-B644-4846B7871390}" name="Task Units" dataDxfId="128" totalsRowDxfId="129"/>
    <tableColumn id="7" xr3:uid="{2FD23CBF-3C2E-4BC2-A10B-0AA1D542BBEC}" name="External Expenses/Revenues USD" dataDxfId="126" totalsRowDxfId="127"/>
    <tableColumn id="76" xr3:uid="{489F7A88-9D9F-47FD-B0F4-3048D1C794CB}" name="Control" dataDxfId="124" totalsRowDxfId="125">
      <calculatedColumnFormula>IF(AND(ISNUMBER(SEARCH("-T",tblSOW9[[#This Row],[Budget Item]])),NOT(ISNUMBER(tblSOW9[[#This Row],[Task Units]]))),"Please Enter Task Units",
IF(AND(ISNUMBER(SEARCH("-E000",tblSOW9[[#This Row],[Budget Item]])),NOT(ISNUMBER(tblSOW9[[#This Row],[% work on project]]))),"Please Enter Organic FTE",
IF(AND(ISNUMBER(SEARCH("-E999",tblSOW9[[#This Row],[Budget Item]])),NOT(ISNUMBER(tblSOW9[[#This Row],[External Expenses/Revenues USD]]))),"Please Enter External Expenses",
"")))</calculatedColumnFormula>
    </tableColumn>
    <tableColumn id="23" xr3:uid="{85E7241A-BCDF-4FCB-8941-48968DD2D123}" name="Budget total cost" dataDxfId="122" totalsRowDxfId="123">
      <calculatedColumnFormula>SUM(tblSOW9[[#This Row],[Jan 2023 USD]:[Dec 2023 USD]])</calculatedColumnFormula>
    </tableColumn>
    <tableColumn id="24" xr3:uid="{CDD658B0-78BB-43DC-8628-4B9749D7B440}" name="Jan 2023 USD" dataDxfId="120" totalsRowDxfId="121">
      <calculatedColumnFormula>tblSOW9[[#This Row],[FTE Cost]]*tblSOW9[[#This Row],[% work on project]]*AK4/12+tblSOW9[[#This Row],[Task Cost]]*AW4+tblSOW9[[#This Row],[External Expenses/Revenues USD]]*BI4/tblSOW9[[#This Row],[Duration]]</calculatedColumnFormula>
    </tableColumn>
    <tableColumn id="25" xr3:uid="{9AA5349C-8B60-4247-A2FC-0DC817518150}" name="Feb 2023 USD" dataDxfId="118" totalsRowDxfId="119">
      <calculatedColumnFormula>tblSOW9[[#This Row],[FTE Cost]]*tblSOW9[[#This Row],[% work on project]]*AL4/12+tblSOW9[[#This Row],[Task Cost]]*AX4+tblSOW9[[#This Row],[External Expenses/Revenues USD]]*BJ4/tblSOW9[[#This Row],[Duration]]</calculatedColumnFormula>
    </tableColumn>
    <tableColumn id="26" xr3:uid="{230CB499-105B-448D-A7E6-15206C13C2E2}" name="Mar 2023 USD" dataDxfId="116" totalsRowDxfId="117">
      <calculatedColumnFormula>tblSOW9[[#This Row],[FTE Cost]]*tblSOW9[[#This Row],[% work on project]]*AM4/12+tblSOW9[[#This Row],[Task Cost]]*AY4+tblSOW9[[#This Row],[External Expenses/Revenues USD]]*BK4/tblSOW9[[#This Row],[Duration]]</calculatedColumnFormula>
    </tableColumn>
    <tableColumn id="27" xr3:uid="{52515B6D-2A1A-4D15-B2BC-DDA140302A6C}" name="Apr 2023 USD" dataDxfId="114" totalsRowDxfId="115">
      <calculatedColumnFormula>tblSOW9[[#This Row],[FTE Cost]]*tblSOW9[[#This Row],[% work on project]]*AN4/12+tblSOW9[[#This Row],[Task Cost]]*AZ4+tblSOW9[[#This Row],[External Expenses/Revenues USD]]*BL4/tblSOW9[[#This Row],[Duration]]</calculatedColumnFormula>
    </tableColumn>
    <tableColumn id="28" xr3:uid="{88CE548D-A4EF-4C4E-8202-758724CC0EF2}" name="May 2023 USD" dataDxfId="112" totalsRowDxfId="113">
      <calculatedColumnFormula>tblSOW9[[#This Row],[FTE Cost]]*tblSOW9[[#This Row],[% work on project]]*AO4/12+tblSOW9[[#This Row],[Task Cost]]*BA4+tblSOW9[[#This Row],[External Expenses/Revenues USD]]*BM4/tblSOW9[[#This Row],[Duration]]</calculatedColumnFormula>
    </tableColumn>
    <tableColumn id="29" xr3:uid="{AA9AE713-50C6-48C8-9F9B-F652C155B4B2}" name="Jun 2023 USD" dataDxfId="110" totalsRowDxfId="111">
      <calculatedColumnFormula>tblSOW9[[#This Row],[FTE Cost]]*tblSOW9[[#This Row],[% work on project]]*AP4/12+tblSOW9[[#This Row],[Task Cost]]*BB4+tblSOW9[[#This Row],[External Expenses/Revenues USD]]*BN4/tblSOW9[[#This Row],[Duration]]</calculatedColumnFormula>
    </tableColumn>
    <tableColumn id="30" xr3:uid="{4D945F8B-6B9C-4A21-8652-35238088696F}" name="Jul 2023 USD" dataDxfId="108" totalsRowDxfId="109">
      <calculatedColumnFormula>tblSOW9[[#This Row],[FTE Cost]]*tblSOW9[[#This Row],[% work on project]]*AQ4/12+tblSOW9[[#This Row],[Task Cost]]*BC4+tblSOW9[[#This Row],[External Expenses/Revenues USD]]*BO4/tblSOW9[[#This Row],[Duration]]</calculatedColumnFormula>
    </tableColumn>
    <tableColumn id="31" xr3:uid="{9F0688CD-B9D8-4DC2-A989-20D7F2058013}" name="Aug 2023 USD" dataDxfId="106" totalsRowDxfId="107">
      <calculatedColumnFormula>tblSOW9[[#This Row],[FTE Cost]]*tblSOW9[[#This Row],[% work on project]]*AR4/12+tblSOW9[[#This Row],[Task Cost]]*BD4+tblSOW9[[#This Row],[External Expenses/Revenues USD]]*BP4/tblSOW9[[#This Row],[Duration]]</calculatedColumnFormula>
    </tableColumn>
    <tableColumn id="32" xr3:uid="{E6C18AA9-D9EC-4C0F-AB8E-D3E1B97C7653}" name="Sep 2023 USD" dataDxfId="104" totalsRowDxfId="105">
      <calculatedColumnFormula>tblSOW9[[#This Row],[FTE Cost]]*tblSOW9[[#This Row],[% work on project]]*AS4/12+tblSOW9[[#This Row],[Task Cost]]*BE4+tblSOW9[[#This Row],[External Expenses/Revenues USD]]*BQ4/tblSOW9[[#This Row],[Duration]]</calculatedColumnFormula>
    </tableColumn>
    <tableColumn id="33" xr3:uid="{494F33B9-DD18-46BF-AEB2-B075C5CB1F48}" name="Oct 2023 USD" dataDxfId="102" totalsRowDxfId="103">
      <calculatedColumnFormula>tblSOW9[[#This Row],[FTE Cost]]*tblSOW9[[#This Row],[% work on project]]*AT4/12+tblSOW9[[#This Row],[Task Cost]]*BF4+tblSOW9[[#This Row],[External Expenses/Revenues USD]]*BR4/tblSOW9[[#This Row],[Duration]]</calculatedColumnFormula>
    </tableColumn>
    <tableColumn id="34" xr3:uid="{2875CD29-E4F2-4FDE-B054-2015EBE167AE}" name="Nov 2023 USD" dataDxfId="100" totalsRowDxfId="101">
      <calculatedColumnFormula>tblSOW9[[#This Row],[FTE Cost]]*tblSOW9[[#This Row],[% work on project]]*AU4/12+tblSOW9[[#This Row],[Task Cost]]*BG4+tblSOW9[[#This Row],[External Expenses/Revenues USD]]*BS4/tblSOW9[[#This Row],[Duration]]</calculatedColumnFormula>
    </tableColumn>
    <tableColumn id="35" xr3:uid="{E642CB4E-C973-4C20-A746-351F8D39B88F}" name="Dec 2023 USD" dataDxfId="98" totalsRowDxfId="99">
      <calculatedColumnFormula>tblSOW9[[#This Row],[FTE Cost]]*tblSOW9[[#This Row],[% work on project]]*AV4/12+tblSOW9[[#This Row],[Task Cost]]*BH4+tblSOW9[[#This Row],[External Expenses/Revenues USD]]*BT4/tblSOW9[[#This Row],[Duration]]</calculatedColumnFormula>
    </tableColumn>
    <tableColumn id="36" xr3:uid="{BF6FBA63-754B-44DC-9D8B-31E6EB6A20FA}" name="Jan 2023 FTE" dataDxfId="96" totalsRowDxfId="97">
      <calculatedColumnFormula>$S4/$BU4*BI4</calculatedColumnFormula>
    </tableColumn>
    <tableColumn id="37" xr3:uid="{C4B5A5B5-D007-4968-BA14-7F168A4CD1F2}" name="Feb 2023 FTE" dataDxfId="94" totalsRowDxfId="95">
      <calculatedColumnFormula>$S4/$BU4*BJ4</calculatedColumnFormula>
    </tableColumn>
    <tableColumn id="38" xr3:uid="{D8836E72-A15C-4920-897A-E8E2C18518BE}" name="Mar 2023 FTE" dataDxfId="92" totalsRowDxfId="93">
      <calculatedColumnFormula>$S4/$BU4*BK4</calculatedColumnFormula>
    </tableColumn>
    <tableColumn id="39" xr3:uid="{6E8398E1-4F0C-4C6B-B4C3-97A29F4AA081}" name="Apr 2023 FTE" dataDxfId="90" totalsRowDxfId="91">
      <calculatedColumnFormula>$S4/$BU4*BL4</calculatedColumnFormula>
    </tableColumn>
    <tableColumn id="40" xr3:uid="{834081D3-9369-41D7-9A0C-B81B30917384}" name="May 2023 FTE" dataDxfId="88" totalsRowDxfId="89">
      <calculatedColumnFormula>$S4/$BU4*BM4</calculatedColumnFormula>
    </tableColumn>
    <tableColumn id="41" xr3:uid="{48105502-6C8E-4E11-9418-D7BC7B124668}" name="Jun 2023 FTE" dataDxfId="86" totalsRowDxfId="87">
      <calculatedColumnFormula>$S4/$BU4*BN4</calculatedColumnFormula>
    </tableColumn>
    <tableColumn id="42" xr3:uid="{94F1D923-275C-44C9-A268-3A516A850516}" name="Jul 2023 FTE" dataDxfId="84" totalsRowDxfId="85">
      <calculatedColumnFormula>$S4/$BU4*BO4</calculatedColumnFormula>
    </tableColumn>
    <tableColumn id="43" xr3:uid="{1C2844FA-ED93-44F4-A98A-E8ABA6E0C617}" name="Aug 2023 FTE" dataDxfId="82" totalsRowDxfId="83">
      <calculatedColumnFormula>$S4/$BU4*BP4</calculatedColumnFormula>
    </tableColumn>
    <tableColumn id="44" xr3:uid="{10F17002-AD18-43D8-8568-3DFD87D889E2}" name="Sep 2023 FTE" dataDxfId="80" totalsRowDxfId="81">
      <calculatedColumnFormula>$S4/$BU4*BQ4</calculatedColumnFormula>
    </tableColumn>
    <tableColumn id="45" xr3:uid="{4CF4F7B3-6C9A-49E4-91CE-3B8C45D464E9}" name="Oct 2023 FTE" dataDxfId="78" totalsRowDxfId="79">
      <calculatedColumnFormula>$S4/$BU4*BR4</calculatedColumnFormula>
    </tableColumn>
    <tableColumn id="46" xr3:uid="{3B98A741-1F4E-41EB-9219-3398D8BAE3DE}" name="Nov 2023 FTE" dataDxfId="76" totalsRowDxfId="77">
      <calculatedColumnFormula>$S4/$BU4*BS4</calculatedColumnFormula>
    </tableColumn>
    <tableColumn id="47" xr3:uid="{AC5CEE9B-1593-48D2-BA84-5C00F152ED20}" name="Dec 2023 FTE" dataDxfId="74" totalsRowDxfId="75">
      <calculatedColumnFormula>$S4/$BU4*BT4</calculatedColumnFormula>
    </tableColumn>
    <tableColumn id="48" xr3:uid="{D9FE1338-CBD3-46CD-88D1-183E639E38C4}" name="Jan 2023 Units" dataDxfId="72" totalsRowDxfId="73">
      <calculatedColumnFormula>$U4/$BU4*BI4</calculatedColumnFormula>
    </tableColumn>
    <tableColumn id="49" xr3:uid="{64CB5D14-0458-4E61-B843-09FEF8470AB1}" name="Feb 2023 Units" dataDxfId="70" totalsRowDxfId="71">
      <calculatedColumnFormula>$U4/$BU4*BJ4</calculatedColumnFormula>
    </tableColumn>
    <tableColumn id="50" xr3:uid="{38D27F3A-0BA1-48EB-A474-D03017648C0D}" name="Mar 2023 Units" dataDxfId="68" totalsRowDxfId="69">
      <calculatedColumnFormula>$U4/$BU4*BK4</calculatedColumnFormula>
    </tableColumn>
    <tableColumn id="51" xr3:uid="{B2FDF64F-4AD3-4C94-BE58-ED26489E7D11}" name="Apr 2023 Units" dataDxfId="66" totalsRowDxfId="67">
      <calculatedColumnFormula>$U4/$BU4*BL4</calculatedColumnFormula>
    </tableColumn>
    <tableColumn id="52" xr3:uid="{099EC2C0-8FFF-4366-BA48-DF5D1E646A3D}" name="May 2023 Units" dataDxfId="64" totalsRowDxfId="65">
      <calculatedColumnFormula>$U4/$BU4*BM4</calculatedColumnFormula>
    </tableColumn>
    <tableColumn id="53" xr3:uid="{7E7EF9E6-BB54-4E30-909D-33DDD7E729DB}" name="Jun 2023 Units" dataDxfId="62" totalsRowDxfId="63">
      <calculatedColumnFormula>$U4/$BU4*BN4</calculatedColumnFormula>
    </tableColumn>
    <tableColumn id="54" xr3:uid="{578FBE05-1E5C-4796-BE44-F450DE31841A}" name="Jul 2023 Units" dataDxfId="60" totalsRowDxfId="61">
      <calculatedColumnFormula>$U4/$BU4*BO4</calculatedColumnFormula>
    </tableColumn>
    <tableColumn id="55" xr3:uid="{C519CBD8-4EA1-44F9-BE27-0DB9FB852947}" name="Aug 2023 Units" dataDxfId="58" totalsRowDxfId="59">
      <calculatedColumnFormula>$U4/$BU4*BP4</calculatedColumnFormula>
    </tableColumn>
    <tableColumn id="56" xr3:uid="{68C1C17C-B88D-40FE-8563-F16CADB9D71C}" name="Sep 2023 Units" dataDxfId="56" totalsRowDxfId="57">
      <calculatedColumnFormula>$U4/$BU4*BQ4</calculatedColumnFormula>
    </tableColumn>
    <tableColumn id="57" xr3:uid="{001BB4CE-3C5B-4D47-ACD3-D69300B52662}" name="Oct 2023 Units" dataDxfId="54" totalsRowDxfId="55">
      <calculatedColumnFormula>$U4/$BU4*BR4</calculatedColumnFormula>
    </tableColumn>
    <tableColumn id="58" xr3:uid="{FB3E0EE8-08D9-4450-8EA0-84C7F91C5CDA}" name="Nov 2023 Units" dataDxfId="52" totalsRowDxfId="53">
      <calculatedColumnFormula>$U4/$BU4*BS4</calculatedColumnFormula>
    </tableColumn>
    <tableColumn id="59" xr3:uid="{4603E664-A727-42C7-A3D3-78835FB0A4AC}" name="Dec 2023 Units" dataDxfId="50" totalsRowDxfId="51">
      <calculatedColumnFormula>$U4/$BU4*BT4</calculatedColumnFormula>
    </tableColumn>
    <tableColumn id="60" xr3:uid="{1E6B4707-C4D0-42DA-8EC4-94EC6BED2070}" name="P1" dataDxfId="48" totalsRowDxfId="49">
      <calculatedColumnFormula>IF($S4&gt;0,IF(AND(MONTH($P4)&lt;=BI$1,MONTH($Q4)&gt;=BI$1),1,0),0)</calculatedColumnFormula>
    </tableColumn>
    <tableColumn id="61" xr3:uid="{F979539E-3AC0-4046-9FB2-55657618884B}" name="P2" dataDxfId="46" totalsRowDxfId="47">
      <calculatedColumnFormula>IF($S4&gt;0,IF(AND(MONTH($P4)&lt;=BJ$1,MONTH($Q4)&gt;=BJ$1),1,0),0)</calculatedColumnFormula>
    </tableColumn>
    <tableColumn id="62" xr3:uid="{8E9DF25C-5AB6-4551-985C-66CBAA36F355}" name="P3" dataDxfId="44" totalsRowDxfId="45">
      <calculatedColumnFormula>IF($S4&gt;0,IF(AND(MONTH($P4)&lt;=BK$1,MONTH($Q4)&gt;=BK$1),1,0),0)</calculatedColumnFormula>
    </tableColumn>
    <tableColumn id="63" xr3:uid="{1BCC909F-23EB-4614-8B74-A4E7F4C145A1}" name="P4" dataDxfId="42" totalsRowDxfId="43">
      <calculatedColumnFormula>IF($S4&gt;0,IF(AND(MONTH($P4)&lt;=BL$1,MONTH($Q4)&gt;=BL$1),1,0),0)</calculatedColumnFormula>
    </tableColumn>
    <tableColumn id="64" xr3:uid="{A701BDA8-C877-4C89-9525-BCD5027F246A}" name="P5" dataDxfId="40" totalsRowDxfId="41">
      <calculatedColumnFormula>IF($S4&gt;0,IF(AND(MONTH($P4)&lt;=BM$1,MONTH($Q4)&gt;=BM$1),1,0),0)</calculatedColumnFormula>
    </tableColumn>
    <tableColumn id="65" xr3:uid="{8AA7FC94-D77E-494F-AC53-7D0DEC5796D5}" name="P6" dataDxfId="38" totalsRowDxfId="39">
      <calculatedColumnFormula>IF($S4&gt;0,IF(AND(MONTH($P4)&lt;=BN$1,MONTH($Q4)&gt;=BN$1),1,0),0)</calculatedColumnFormula>
    </tableColumn>
    <tableColumn id="66" xr3:uid="{6EBA86A0-8B98-4CFC-9BCA-4369152D4901}" name="P7" dataDxfId="36" totalsRowDxfId="37">
      <calculatedColumnFormula>IF($S4&gt;0,IF(AND(MONTH($P4)&lt;=BO$1,MONTH($Q4)&gt;=BO$1),1,0),0)</calculatedColumnFormula>
    </tableColumn>
    <tableColumn id="67" xr3:uid="{313BFBA1-2F07-4AC8-A45E-2619A1C46BDD}" name="P8" dataDxfId="34" totalsRowDxfId="35">
      <calculatedColumnFormula>IF($S4&gt;0,IF(AND(MONTH($P4)&lt;=BP$1,MONTH($Q4)&gt;=BP$1),1,0),0)</calculatedColumnFormula>
    </tableColumn>
    <tableColumn id="68" xr3:uid="{4E62AEEB-D15F-403B-BE52-B221A50126E4}" name="P9" dataDxfId="32" totalsRowDxfId="33">
      <calculatedColumnFormula>IF($S4&gt;0,IF(AND(MONTH($P4)&lt;=BQ$1,MONTH($Q4)&gt;=BQ$1),1,0),0)</calculatedColumnFormula>
    </tableColumn>
    <tableColumn id="69" xr3:uid="{4FBD2F20-51C1-46A1-B1C6-B12AB94E0E4F}" name="P10" dataDxfId="30" totalsRowDxfId="31">
      <calculatedColumnFormula>IF($S4&gt;0,IF(AND(MONTH($P4)&lt;=BR$1,MONTH($Q4)&gt;=BR$1),1,0),0)</calculatedColumnFormula>
    </tableColumn>
    <tableColumn id="70" xr3:uid="{30C33309-73DE-4FE2-BCA1-9F31FBD89847}" name="P11" dataDxfId="28" totalsRowDxfId="29">
      <calculatedColumnFormula>IF($S4&gt;0,IF(AND(MONTH($P4)&lt;=BS$1,MONTH($Q4)&gt;=BS$1),1,0),0)</calculatedColumnFormula>
    </tableColumn>
    <tableColumn id="71" xr3:uid="{2BB7AE0B-2E16-4946-AE67-3A5B7BC26D7A}" name="P12" dataDxfId="26" totalsRowDxfId="27">
      <calculatedColumnFormula>IF($S4&gt;0,IF(AND(MONTH($P4)&lt;=BT$1,MONTH($Q4)&gt;=BT$1),1,0),0)</calculatedColumnFormula>
    </tableColumn>
    <tableColumn id="72" xr3:uid="{8F2A2CD0-CD3F-433F-A977-E5A14024F8BA}" name="Total" dataDxfId="24" totalsRowDxfId="25">
      <calculatedColumnFormula>SUM(tblSOW9[[#This Row],[P1]:[P12]])</calculatedColumnFormula>
    </tableColumn>
    <tableColumn id="73" xr3:uid="{FFEC385A-A340-446C-A514-A4C3855A7799}" name="FTE Cost" dataDxfId="22" totalsRowDxfId="23">
      <calculatedColumnFormula>IFERROR(VLOOKUP(H4,[32]Parameters!CK:CN,3,0),0)</calculatedColumnFormula>
    </tableColumn>
    <tableColumn id="74" xr3:uid="{0E210A0F-22B1-4C59-AF27-3C98BB70D8A1}" name="Task Cost" dataDxfId="20" totalsRowDxfId="21">
      <calculatedColumnFormula>IFERROR(VLOOKUP(K4,[32]Parameters!BN:BW,10,0),0)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44BA8A0-7A85-4B3D-830F-7B74FB865F04}" name="tblSOW8" displayName="tblSOW8" ref="A3:CA222" totalsRowShown="0" headerRowDxfId="252" dataDxfId="251">
  <autoFilter ref="A3:CA222" xr:uid="{00000000-0009-0000-0100-000001000000}"/>
  <tableColumns count="79">
    <tableColumn id="1" xr3:uid="{A911B424-F8FC-439D-ADBB-27F9A9963412}" name="Budget Item" dataDxfId="250">
      <calculatedColumnFormula>CONCATENATE(INDEX([30]Parameters!$U$1:$V$20,MATCH(C4,[30]Parameters!$V$1:$V$20,0),1),"/",VLOOKUP(D4,[30]Parameters!$CG$1:$CH$12,2,0),".",E4,".",H4,".",LEFT(J4,3),"-",LEFT(K4,4))</calculatedColumnFormula>
    </tableColumn>
    <tableColumn id="2" xr3:uid="{7948C31B-BCA2-426E-B035-B4D485285E60}" name="Company" dataDxfId="249"/>
    <tableColumn id="3" xr3:uid="{D7E399E9-24BB-4010-9C88-1EDB07F409DE}" name="Division" dataDxfId="248"/>
    <tableColumn id="4" xr3:uid="{9F321CAB-1663-4F64-823D-B5C72B27D5FA}" name="FinReport" dataDxfId="247" dataCellStyle="Neutral"/>
    <tableColumn id="5" xr3:uid="{D168CE73-D14F-4D7C-BDDF-370E5E01371C}" name="Project Code" dataDxfId="246" dataCellStyle="Neutral">
      <calculatedColumnFormula>VLOOKUP(F4,[30]Parameters!P:T,4,0)</calculatedColumnFormula>
    </tableColumn>
    <tableColumn id="6" xr3:uid="{9BA742E3-70F9-462A-882F-DFD8BEB57F34}" name="Project Name" dataDxfId="245"/>
    <tableColumn id="75" xr3:uid="{E11460FE-BE43-45E4-8BEE-47C00F0D6EBB}" name="Activity" dataDxfId="244"/>
    <tableColumn id="14" xr3:uid="{F3594B79-8092-45DC-BA78-8AE3C127547E}" name="DepartmentNo." dataDxfId="243" dataCellStyle="Comma">
      <calculatedColumnFormula>INDEX([30]Parameters!$B:$C,MATCH(I4,[30]Parameters!$C:$C,0),1)</calculatedColumnFormula>
    </tableColumn>
    <tableColumn id="15" xr3:uid="{661CAAFC-3565-4773-82CC-A39CFFFC2E5F}" name="Department" dataDxfId="242"/>
    <tableColumn id="17" xr3:uid="{C6E2AE97-6194-4FC2-8F3D-03C3354CF725}" name="Nominal" dataDxfId="241"/>
    <tableColumn id="18" xr3:uid="{EE14D6C3-68BD-4466-B5F6-35C02F2D361C}" name="Ending" dataDxfId="240"/>
    <tableColumn id="8" xr3:uid="{28B124D7-DEF7-46E5-A6FF-040605321873}" name="Title" dataDxfId="239"/>
    <tableColumn id="9" xr3:uid="{55A9E16F-C389-42A4-9323-44A9E033FD9B}" name="Employee name " dataDxfId="238"/>
    <tableColumn id="10" xr3:uid="{AD3A3E8D-67D2-4048-94E7-D423E6E08763}" name="Comment - Division" dataDxfId="237"/>
    <tableColumn id="11" xr3:uid="{F385B6C0-9F41-4CED-B72B-1759A533DBFB}" name="Comment - CPB" dataDxfId="236"/>
    <tableColumn id="12" xr3:uid="{697CE7A3-40A7-4038-A8B9-F07FAB785ABA}" name="Start Timeframe" dataDxfId="235"/>
    <tableColumn id="13" xr3:uid="{49E92601-DAF9-4FFF-9353-7F26FBE9583C}" name="End Timeframe" dataDxfId="234"/>
    <tableColumn id="16" xr3:uid="{A3294200-1BA2-4E68-A4C4-09F46BC699FB}" name="Employee Name" dataDxfId="233"/>
    <tableColumn id="19" xr3:uid="{FAE95481-D881-40F1-AA31-DD2EA163DC0D}" name="Duration" dataDxfId="232">
      <calculatedColumnFormula>IF(OR(P4="",Q4=""),0,MONTH(Q4)-MONTH(P4)+1)</calculatedColumnFormula>
    </tableColumn>
    <tableColumn id="20" xr3:uid="{C17AC224-F7C5-44EB-B610-40D9E8ED8541}" name="% work on project" dataDxfId="231"/>
    <tableColumn id="21" xr3:uid="{8C40D1A4-CD17-4ADE-BC2F-77AE2794CB4B}" name="Task Units" dataDxfId="230"/>
    <tableColumn id="7" xr3:uid="{2A3AC8A5-01E3-460A-A93C-492AFD8AD595}" name="External Expenses/Revenues USD" dataDxfId="229"/>
    <tableColumn id="76" xr3:uid="{491908E6-A5F5-4B20-B281-47A219404D56}" name="Control" dataDxfId="228">
      <calculatedColumnFormula>IF(AND(ISNUMBER(SEARCH("-T",tblSOW8[[#This Row],[Budget Item]])),NOT(ISNUMBER(tblSOW8[[#This Row],[Task Units]]))),"Please Enter Task Units",
IF(AND(ISNUMBER(SEARCH("-E000",tblSOW8[[#This Row],[Budget Item]])),NOT(ISNUMBER(tblSOW8[[#This Row],[% work on project]]))),"Please Enter Organic FTE",
IF(AND(ISNUMBER(SEARCH("-E999",tblSOW8[[#This Row],[Budget Item]])),NOT(ISNUMBER(tblSOW8[[#This Row],[External Expenses/Revenues USD]]))),"Please Enter External Expenses",
"")))</calculatedColumnFormula>
    </tableColumn>
    <tableColumn id="23" xr3:uid="{2550C233-6CD7-42FD-99F7-3310CB9E0DAB}" name="Budget total cost" dataDxfId="227">
      <calculatedColumnFormula>SUM(tblSOW8[[#This Row],[Jan 2023 USD]:[Dec 2023 USD]])</calculatedColumnFormula>
    </tableColumn>
    <tableColumn id="24" xr3:uid="{45D0BA70-15ED-43C6-B7D3-5F1279154B84}" name="Jan 2023 USD" dataDxfId="226">
      <calculatedColumnFormula>tblSOW8[[#This Row],[FTE Cost]]*tblSOW8[[#This Row],[% work on project]]*AK4/12+tblSOW8[[#This Row],[Task Cost]]*AW4+tblSOW8[[#This Row],[External Expenses/Revenues USD]]*BI4/tblSOW8[[#This Row],[Duration]]</calculatedColumnFormula>
    </tableColumn>
    <tableColumn id="25" xr3:uid="{CC6E3247-9534-4493-8E46-26F89DE21429}" name="Feb 2023 USD" dataDxfId="225">
      <calculatedColumnFormula>tblSOW8[[#This Row],[FTE Cost]]*tblSOW8[[#This Row],[% work on project]]*AL4/12+tblSOW8[[#This Row],[Task Cost]]*AX4+tblSOW8[[#This Row],[External Expenses/Revenues USD]]*BJ4/tblSOW8[[#This Row],[Duration]]</calculatedColumnFormula>
    </tableColumn>
    <tableColumn id="26" xr3:uid="{43CEC825-2381-4151-973D-118422BB4899}" name="Mar 2023 USD" dataDxfId="224">
      <calculatedColumnFormula>tblSOW8[[#This Row],[FTE Cost]]*tblSOW8[[#This Row],[% work on project]]*AM4/12+tblSOW8[[#This Row],[Task Cost]]*AY4+tblSOW8[[#This Row],[External Expenses/Revenues USD]]*BK4/tblSOW8[[#This Row],[Duration]]</calculatedColumnFormula>
    </tableColumn>
    <tableColumn id="27" xr3:uid="{CD951DB8-C4D1-49F4-AFBF-7C7AC18E459D}" name="Apr 2023 USD" dataDxfId="223">
      <calculatedColumnFormula>tblSOW8[[#This Row],[FTE Cost]]*tblSOW8[[#This Row],[% work on project]]*AN4/12+tblSOW8[[#This Row],[Task Cost]]*AZ4+tblSOW8[[#This Row],[External Expenses/Revenues USD]]*BL4/tblSOW8[[#This Row],[Duration]]</calculatedColumnFormula>
    </tableColumn>
    <tableColumn id="28" xr3:uid="{969FC563-6763-4F85-B775-5E4B17AB2BA5}" name="May 2023 USD" dataDxfId="222">
      <calculatedColumnFormula>tblSOW8[[#This Row],[FTE Cost]]*tblSOW8[[#This Row],[% work on project]]*AO4/12+tblSOW8[[#This Row],[Task Cost]]*BA4+tblSOW8[[#This Row],[External Expenses/Revenues USD]]*BM4/tblSOW8[[#This Row],[Duration]]</calculatedColumnFormula>
    </tableColumn>
    <tableColumn id="29" xr3:uid="{A686C983-0D76-4265-929E-1DBD838178A2}" name="Jun 2023 USD" dataDxfId="221">
      <calculatedColumnFormula>tblSOW8[[#This Row],[FTE Cost]]*tblSOW8[[#This Row],[% work on project]]*AP4/12+tblSOW8[[#This Row],[Task Cost]]*BB4+tblSOW8[[#This Row],[External Expenses/Revenues USD]]*BN4/tblSOW8[[#This Row],[Duration]]</calculatedColumnFormula>
    </tableColumn>
    <tableColumn id="30" xr3:uid="{E101992B-4E39-49C0-8B70-D735A3AF56DC}" name="Jul 2023 USD" dataDxfId="220">
      <calculatedColumnFormula>tblSOW8[[#This Row],[FTE Cost]]*tblSOW8[[#This Row],[% work on project]]*AQ4/12+tblSOW8[[#This Row],[Task Cost]]*BC4+tblSOW8[[#This Row],[External Expenses/Revenues USD]]*BO4/tblSOW8[[#This Row],[Duration]]</calculatedColumnFormula>
    </tableColumn>
    <tableColumn id="31" xr3:uid="{0FCE05A3-24C3-4324-96C8-2602896D1365}" name="Aug 2023 USD" dataDxfId="219">
      <calculatedColumnFormula>tblSOW8[[#This Row],[FTE Cost]]*tblSOW8[[#This Row],[% work on project]]*AR4/12+tblSOW8[[#This Row],[Task Cost]]*BD4+tblSOW8[[#This Row],[External Expenses/Revenues USD]]*BP4/tblSOW8[[#This Row],[Duration]]</calculatedColumnFormula>
    </tableColumn>
    <tableColumn id="32" xr3:uid="{49F7025C-C703-4646-AD8A-281012BA3401}" name="Sep 2023 USD" dataDxfId="218">
      <calculatedColumnFormula>tblSOW8[[#This Row],[FTE Cost]]*tblSOW8[[#This Row],[% work on project]]*AS4/12+tblSOW8[[#This Row],[Task Cost]]*BE4+tblSOW8[[#This Row],[External Expenses/Revenues USD]]*BQ4/tblSOW8[[#This Row],[Duration]]</calculatedColumnFormula>
    </tableColumn>
    <tableColumn id="33" xr3:uid="{28744CBC-B58E-428B-9530-EC811F8AAFB7}" name="Oct 2023 USD" dataDxfId="217">
      <calculatedColumnFormula>tblSOW8[[#This Row],[FTE Cost]]*tblSOW8[[#This Row],[% work on project]]*AT4/12+tblSOW8[[#This Row],[Task Cost]]*BF4+tblSOW8[[#This Row],[External Expenses/Revenues USD]]*BR4/tblSOW8[[#This Row],[Duration]]</calculatedColumnFormula>
    </tableColumn>
    <tableColumn id="34" xr3:uid="{C5B8D433-CF24-42B1-AEFF-339F8BCCA9DA}" name="Nov 2023 USD" dataDxfId="216">
      <calculatedColumnFormula>tblSOW8[[#This Row],[FTE Cost]]*tblSOW8[[#This Row],[% work on project]]*AU4/12+tblSOW8[[#This Row],[Task Cost]]*BG4+tblSOW8[[#This Row],[External Expenses/Revenues USD]]*BS4/tblSOW8[[#This Row],[Duration]]</calculatedColumnFormula>
    </tableColumn>
    <tableColumn id="35" xr3:uid="{46987629-F9E4-4C9E-8202-52525323D015}" name="Dec 2023 USD" dataDxfId="215">
      <calculatedColumnFormula>tblSOW8[[#This Row],[FTE Cost]]*tblSOW8[[#This Row],[% work on project]]*AV4/12+tblSOW8[[#This Row],[Task Cost]]*BH4+tblSOW8[[#This Row],[External Expenses/Revenues USD]]*BT4/tblSOW8[[#This Row],[Duration]]</calculatedColumnFormula>
    </tableColumn>
    <tableColumn id="36" xr3:uid="{092336EF-A8F5-4644-9C4B-F659981F0A5A}" name="Jan 2023 FTE" dataDxfId="214">
      <calculatedColumnFormula>$S4/$BU4*BI4</calculatedColumnFormula>
    </tableColumn>
    <tableColumn id="37" xr3:uid="{3121BB1F-039E-43FD-9422-82ABBBCD4C7E}" name="Feb 2023 FTE" dataDxfId="213">
      <calculatedColumnFormula>$S4/$BU4*BJ4</calculatedColumnFormula>
    </tableColumn>
    <tableColumn id="38" xr3:uid="{CA987BBA-7B37-4992-9E7E-79B347CB40F7}" name="Mar 2023 FTE" dataDxfId="212">
      <calculatedColumnFormula>$S4/$BU4*BK4</calculatedColumnFormula>
    </tableColumn>
    <tableColumn id="39" xr3:uid="{16C44260-E713-4742-A995-361D562E890E}" name="Apr 2023 FTE" dataDxfId="211">
      <calculatedColumnFormula>$S4/$BU4*BL4</calculatedColumnFormula>
    </tableColumn>
    <tableColumn id="40" xr3:uid="{A96EAE2D-74A7-4BD1-B0C9-359F046C8FF1}" name="May 2023 FTE" dataDxfId="210">
      <calculatedColumnFormula>$S4/$BU4*BM4</calculatedColumnFormula>
    </tableColumn>
    <tableColumn id="41" xr3:uid="{20F66D15-887A-444D-BF07-E434653112BD}" name="Jun 2023 FTE" dataDxfId="209">
      <calculatedColumnFormula>$S4/$BU4*BN4</calculatedColumnFormula>
    </tableColumn>
    <tableColumn id="42" xr3:uid="{B57A4681-ABAC-4D76-AD1F-FF75A0994554}" name="Jul 2023 FTE" dataDxfId="208">
      <calculatedColumnFormula>$S4/$BU4*BO4</calculatedColumnFormula>
    </tableColumn>
    <tableColumn id="43" xr3:uid="{E895070F-9EDA-4BA8-8065-61B4D0CA3ED6}" name="Aug 2023 FTE" dataDxfId="207">
      <calculatedColumnFormula>$S4/$BU4*BP4</calculatedColumnFormula>
    </tableColumn>
    <tableColumn id="44" xr3:uid="{67945736-8B1C-4E0E-AB4C-395D30E3A3AE}" name="Sep 2023 FTE" dataDxfId="206">
      <calculatedColumnFormula>$S4/$BU4*BQ4</calculatedColumnFormula>
    </tableColumn>
    <tableColumn id="45" xr3:uid="{FE126370-C65B-4874-8DE2-BF447461C440}" name="Oct 2023 FTE" dataDxfId="205">
      <calculatedColumnFormula>$S4/$BU4*BR4</calculatedColumnFormula>
    </tableColumn>
    <tableColumn id="46" xr3:uid="{ECF1CF6A-806D-4622-8A3B-7B4366901EB9}" name="Nov 2023 FTE" dataDxfId="204">
      <calculatedColumnFormula>$S4/$BU4*BS4</calculatedColumnFormula>
    </tableColumn>
    <tableColumn id="47" xr3:uid="{717AC65B-C8FA-4654-910B-CEBF611F47D2}" name="Dec 2023 FTE" dataDxfId="203">
      <calculatedColumnFormula>$S4/$BU4*BT4</calculatedColumnFormula>
    </tableColumn>
    <tableColumn id="48" xr3:uid="{A92CD6E6-D0E9-47D1-B0E5-9D41AA108FE8}" name="Jan 2023 Units" dataDxfId="202">
      <calculatedColumnFormula>$U4/$BU4*BI4</calculatedColumnFormula>
    </tableColumn>
    <tableColumn id="49" xr3:uid="{80B4A994-E020-4D41-8E78-4A166F236AC5}" name="Feb 2023 Units" dataDxfId="201">
      <calculatedColumnFormula>$U4/$BU4*BJ4</calculatedColumnFormula>
    </tableColumn>
    <tableColumn id="50" xr3:uid="{5FB9489A-C744-4CBE-8F35-065D6D78C343}" name="Mar 2023 Units" dataDxfId="200">
      <calculatedColumnFormula>$U4/$BU4*BK4</calculatedColumnFormula>
    </tableColumn>
    <tableColumn id="51" xr3:uid="{04DFA04A-F20B-4749-917F-F386D03AB4D6}" name="Apr 2023 Units" dataDxfId="199">
      <calculatedColumnFormula>$U4/$BU4*BL4</calculatedColumnFormula>
    </tableColumn>
    <tableColumn id="52" xr3:uid="{C3A93082-BF59-4D03-B032-74902D730D4C}" name="May 2023 Units" dataDxfId="198">
      <calculatedColumnFormula>$U4/$BU4*BM4</calculatedColumnFormula>
    </tableColumn>
    <tableColumn id="53" xr3:uid="{748B2018-430F-4C71-92A0-6F330AA8321D}" name="Jun 2023 Units" dataDxfId="197">
      <calculatedColumnFormula>$U4/$BU4*BN4</calculatedColumnFormula>
    </tableColumn>
    <tableColumn id="54" xr3:uid="{659A854C-5C6B-4272-8687-346557547B0B}" name="Jul 2023 Units" dataDxfId="196">
      <calculatedColumnFormula>$U4/$BU4*BO4</calculatedColumnFormula>
    </tableColumn>
    <tableColumn id="55" xr3:uid="{DA3398EC-6779-4EE1-8E51-09B5427B5939}" name="Aug 2023 Units" dataDxfId="195">
      <calculatedColumnFormula>$U4/$BU4*BP4</calculatedColumnFormula>
    </tableColumn>
    <tableColumn id="56" xr3:uid="{701B3D5F-AA4E-48DA-8557-24CCD015ECF5}" name="Sep 2023 Units" dataDxfId="194">
      <calculatedColumnFormula>$U4/$BU4*BQ4</calculatedColumnFormula>
    </tableColumn>
    <tableColumn id="57" xr3:uid="{30B7F86E-EA67-47F7-B8AD-A291CD1B7AF5}" name="Oct 2023 Units" dataDxfId="193">
      <calculatedColumnFormula>$U4/$BU4*BR4</calculatedColumnFormula>
    </tableColumn>
    <tableColumn id="58" xr3:uid="{4A455C50-207A-485A-97BC-F4C5BE0B8F39}" name="Nov 2023 Units" dataDxfId="192">
      <calculatedColumnFormula>$U4/$BU4*BS4</calculatedColumnFormula>
    </tableColumn>
    <tableColumn id="59" xr3:uid="{55A74CCA-093E-4145-86F9-468EB399F9E9}" name="Dec 2023 Units" dataDxfId="191">
      <calculatedColumnFormula>$U4/$BU4*BT4</calculatedColumnFormula>
    </tableColumn>
    <tableColumn id="60" xr3:uid="{BB109058-9EB1-41AE-BFA2-843BDD052C1A}" name="P1" dataDxfId="190">
      <calculatedColumnFormula>IF($S4&gt;0,IF(AND(MONTH($P4)&lt;=BI$1,MONTH($Q4)&gt;=BI$1),1,0),0)</calculatedColumnFormula>
    </tableColumn>
    <tableColumn id="61" xr3:uid="{FF84FCFE-2097-4788-84D4-642665B07440}" name="P2" dataDxfId="189">
      <calculatedColumnFormula>IF($S4&gt;0,IF(AND(MONTH($P4)&lt;=BJ$1,MONTH($Q4)&gt;=BJ$1),1,0),0)</calculatedColumnFormula>
    </tableColumn>
    <tableColumn id="62" xr3:uid="{271A48B5-C105-45EC-A14F-F529A10905B4}" name="P3" dataDxfId="188">
      <calculatedColumnFormula>IF($S4&gt;0,IF(AND(MONTH($P4)&lt;=BK$1,MONTH($Q4)&gt;=BK$1),1,0),0)</calculatedColumnFormula>
    </tableColumn>
    <tableColumn id="63" xr3:uid="{A3555763-DEB2-4799-8D69-7A12970B5877}" name="P4" dataDxfId="187">
      <calculatedColumnFormula>IF($S4&gt;0,IF(AND(MONTH($P4)&lt;=BL$1,MONTH($Q4)&gt;=BL$1),1,0),0)</calculatedColumnFormula>
    </tableColumn>
    <tableColumn id="64" xr3:uid="{9DB710B0-FFC6-4EF7-9CD8-7E9C88030AC4}" name="P5" dataDxfId="186">
      <calculatedColumnFormula>IF($S4&gt;0,IF(AND(MONTH($P4)&lt;=BM$1,MONTH($Q4)&gt;=BM$1),1,0),0)</calculatedColumnFormula>
    </tableColumn>
    <tableColumn id="65" xr3:uid="{02828851-831F-4683-A53E-53057F4187D9}" name="P6" dataDxfId="185">
      <calculatedColumnFormula>IF($S4&gt;0,IF(AND(MONTH($P4)&lt;=BN$1,MONTH($Q4)&gt;=BN$1),1,0),0)</calculatedColumnFormula>
    </tableColumn>
    <tableColumn id="66" xr3:uid="{9DC96348-63D0-4BA8-8857-6F2E91AB7E00}" name="P7" dataDxfId="184">
      <calculatedColumnFormula>IF($S4&gt;0,IF(AND(MONTH($P4)&lt;=BO$1,MONTH($Q4)&gt;=BO$1),1,0),0)</calculatedColumnFormula>
    </tableColumn>
    <tableColumn id="67" xr3:uid="{C6060397-ACBC-4966-A32B-733C3ED947DB}" name="P8" dataDxfId="183">
      <calculatedColumnFormula>IF($S4&gt;0,IF(AND(MONTH($P4)&lt;=BP$1,MONTH($Q4)&gt;=BP$1),1,0),0)</calculatedColumnFormula>
    </tableColumn>
    <tableColumn id="68" xr3:uid="{BB8B96B0-868D-4415-A902-C929B08EEC17}" name="P9" dataDxfId="182">
      <calculatedColumnFormula>IF($S4&gt;0,IF(AND(MONTH($P4)&lt;=BQ$1,MONTH($Q4)&gt;=BQ$1),1,0),0)</calculatedColumnFormula>
    </tableColumn>
    <tableColumn id="69" xr3:uid="{633AEEBF-5736-4A28-B445-9D37FB425599}" name="P10" dataDxfId="181">
      <calculatedColumnFormula>IF($S4&gt;0,IF(AND(MONTH($P4)&lt;=BR$1,MONTH($Q4)&gt;=BR$1),1,0),0)</calculatedColumnFormula>
    </tableColumn>
    <tableColumn id="70" xr3:uid="{FFDB3485-E6E8-4F99-AEB1-3F3A7C053E76}" name="P11" dataDxfId="180">
      <calculatedColumnFormula>IF($S4&gt;0,IF(AND(MONTH($P4)&lt;=BS$1,MONTH($Q4)&gt;=BS$1),1,0),0)</calculatedColumnFormula>
    </tableColumn>
    <tableColumn id="71" xr3:uid="{1ECF18C2-1744-4CC3-A94A-EA9A2E53EABC}" name="P12" dataDxfId="179">
      <calculatedColumnFormula>IF($S4&gt;0,IF(AND(MONTH($P4)&lt;=BT$1,MONTH($Q4)&gt;=BT$1),1,0),0)</calculatedColumnFormula>
    </tableColumn>
    <tableColumn id="72" xr3:uid="{ACEDD683-CA07-4F87-8BBC-ADFEB44752EB}" name="Total" dataDxfId="178">
      <calculatedColumnFormula>SUM(tblSOW8[[#This Row],[P1]:[P12]])</calculatedColumnFormula>
    </tableColumn>
    <tableColumn id="73" xr3:uid="{1334D3F4-74F9-4CFB-B1D0-A5FFCA90F6A9}" name="FTE Cost" dataDxfId="177">
      <calculatedColumnFormula>IFERROR(VLOOKUP(H4,[30]Parameters!CK:CN,3,0),0)</calculatedColumnFormula>
    </tableColumn>
    <tableColumn id="74" xr3:uid="{78B1836A-6C5B-4C36-A28E-B02B234C6CF0}" name="Task Cost" dataDxfId="176">
      <calculatedColumnFormula>IFERROR(VLOOKUP(K4,[30]Parameters!BN:BW,10,0),0)</calculatedColumnFormula>
    </tableColumn>
    <tableColumn id="22" xr3:uid="{AF450BB2-CD8C-4598-B2B2-5134BAF16BC0}" name="Q1 Amt" dataDxfId="175">
      <calculatedColumnFormula>SUM(tblSOW8[[#This Row],[Jan 2023 USD]:[Mar 2023 USD]])</calculatedColumnFormula>
    </tableColumn>
    <tableColumn id="77" xr3:uid="{4BE16240-2B86-47BF-893E-E91472B85F2E}" name="Q2 Amt" dataDxfId="174">
      <calculatedColumnFormula>SUM(tblSOW8[[#This Row],[Apr 2023 USD]:[Jun 2023 USD]])</calculatedColumnFormula>
    </tableColumn>
    <tableColumn id="78" xr3:uid="{E0642D32-BC45-4BE1-B25F-3372E54FCD1D}" name="Q3 Amt" dataDxfId="173">
      <calculatedColumnFormula>SUM(tblSOW8[[#This Row],[Jul 2023 USD]:[Sep 2023 USD]])</calculatedColumnFormula>
    </tableColumn>
    <tableColumn id="79" xr3:uid="{429937BC-4F63-4372-9CF5-2A79B535FD2D}" name="Q4 Amt" dataDxfId="172">
      <calculatedColumnFormula>SUM(tblSOW8[[#This Row],[Oct 2023 USD]:[Dec 2023 USD]])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2609995-5166-419E-AA8B-4CBF7DF83B39}" name="tblSOW7" displayName="tblSOW7" ref="A3:BW240" totalsRowCount="1" headerRowDxfId="404" dataDxfId="403">
  <autoFilter ref="A3:BW239" xr:uid="{00000000-0009-0000-0100-000001000000}"/>
  <tableColumns count="75">
    <tableColumn id="1" xr3:uid="{786D40AA-E6EF-435C-B63A-1E9B87B8E3F5}" name="Budget Item" dataDxfId="402" totalsRowDxfId="315">
      <calculatedColumnFormula>CONCATENATE(INDEX([29]Parameters!$U$1:$V$20,MATCH(C4,[29]Parameters!$V$1:$V$20,0),1),"/",VLOOKUP(D4,[29]Parameters!$CG$1:$CH$12,2,0),".",E4,".",H4,".",LEFT(J4,3),"-",LEFT(K4,4))</calculatedColumnFormula>
    </tableColumn>
    <tableColumn id="2" xr3:uid="{6B549529-9486-46AF-9C00-35B29EF00133}" name="Company" dataDxfId="401" totalsRowDxfId="314"/>
    <tableColumn id="3" xr3:uid="{EBB68FE0-C018-4671-8B99-B27B80DA2B49}" name="Division" dataDxfId="400" totalsRowDxfId="313"/>
    <tableColumn id="4" xr3:uid="{BC344D95-F64F-4F93-BBDD-D313B577E6DE}" name="FinReport" dataDxfId="399" totalsRowDxfId="312" dataCellStyle="Neutral"/>
    <tableColumn id="5" xr3:uid="{8ED4BF2A-A1BF-4026-A8BD-B9534704764A}" name="Project Code" dataDxfId="398" totalsRowDxfId="311" dataCellStyle="Neutral">
      <calculatedColumnFormula>VLOOKUP(F4,[29]Parameters!P:T,4,0)</calculatedColumnFormula>
    </tableColumn>
    <tableColumn id="6" xr3:uid="{80476CAD-148F-482A-B018-11989CC3A590}" name="Project Name" dataDxfId="397" totalsRowDxfId="310"/>
    <tableColumn id="75" xr3:uid="{E82A2796-C387-4894-A3CE-9708D1F6D404}" name="Activity" dataDxfId="396" totalsRowDxfId="309"/>
    <tableColumn id="14" xr3:uid="{D3356EB5-A4FD-4C71-AAB2-34540BFF04EB}" name="DepartmentNo." dataDxfId="395" totalsRowDxfId="308" dataCellStyle="Comma">
      <calculatedColumnFormula>INDEX([29]Parameters!$B:$C,MATCH(I4,[29]Parameters!$C:$C,0),1)</calculatedColumnFormula>
    </tableColumn>
    <tableColumn id="15" xr3:uid="{93A38162-9AD1-49DD-B32B-731BAE023575}" name="Department" dataDxfId="394" totalsRowDxfId="307"/>
    <tableColumn id="17" xr3:uid="{7D983263-20A0-45D5-AAFF-478E407763B3}" name="Nominal" dataDxfId="393" totalsRowDxfId="306"/>
    <tableColumn id="18" xr3:uid="{D189A692-74BA-45C0-B3E6-21AFA9F511E0}" name="Ending" dataDxfId="392" totalsRowDxfId="305"/>
    <tableColumn id="8" xr3:uid="{5CE0A3DB-B42F-4154-81E7-F9CB8DAEE84E}" name="Title" dataDxfId="390" totalsRowDxfId="391">
      <calculatedColumnFormula>IFERROR(VLOOKUP(tblSOW7[[#This Row],[Employee name ]],[29]Parameters!CP:CS,4,0),"")</calculatedColumnFormula>
    </tableColumn>
    <tableColumn id="9" xr3:uid="{D3AA8CE8-659D-4CDB-AB88-AEBD16F19657}" name="Employee name " dataDxfId="388" totalsRowDxfId="389"/>
    <tableColumn id="10" xr3:uid="{F387D83A-3BCC-463C-A8E9-8FA6C2C82622}" name="Comment - Division" dataDxfId="386" totalsRowDxfId="387"/>
    <tableColumn id="11" xr3:uid="{662C1E8F-AFF4-431D-A6EA-3A96BC027E3A}" name="Comment - CPB" dataDxfId="384" totalsRowDxfId="385"/>
    <tableColumn id="12" xr3:uid="{09F74588-EAFB-4FB8-93AC-33C00FC5A7B1}" name="Start Timeframe" dataDxfId="382" totalsRowDxfId="383"/>
    <tableColumn id="13" xr3:uid="{5BED6F32-C624-4924-9FBF-E74A674D7100}" name="End Timeframe" dataDxfId="380" totalsRowDxfId="381"/>
    <tableColumn id="16" xr3:uid="{11ED10E8-54A2-46BC-ACA5-605CE91A0D63}" name="Employee Name" dataDxfId="378" totalsRowDxfId="379"/>
    <tableColumn id="19" xr3:uid="{9395E3DC-E0DF-45B2-968B-FD70322D9967}" name="Duration" dataDxfId="376" totalsRowDxfId="377">
      <calculatedColumnFormula>IF(OR(P4="",Q4=""),0,MONTH(Q4)-MONTH(P4)+1)</calculatedColumnFormula>
    </tableColumn>
    <tableColumn id="20" xr3:uid="{3696EF65-103F-45DE-A06D-EEA0689E0214}" name="% work on project" dataDxfId="374" totalsRowDxfId="375"/>
    <tableColumn id="21" xr3:uid="{04477CDB-60A9-4005-AFE9-4795971DDA4F}" name="Task Units" dataDxfId="372" totalsRowDxfId="373"/>
    <tableColumn id="7" xr3:uid="{0ACB957A-9F85-42A8-ABDA-C7E3E8B0DE31}" name="External Expenses/Revenues USD" dataDxfId="370" totalsRowDxfId="371"/>
    <tableColumn id="76" xr3:uid="{5B25DC31-E4BC-4ADD-ACCA-E4CF42DED725}" name="Control" dataDxfId="368" totalsRowDxfId="369">
      <calculatedColumnFormula>IF(AND(ISNUMBER(SEARCH("-T",tblSOW7[[#This Row],[Budget Item]])),NOT(ISNUMBER(tblSOW7[[#This Row],[Task Units]]))),"Please Enter Task Units",
IF(AND(ISNUMBER(SEARCH("-E000",tblSOW7[[#This Row],[Budget Item]])),NOT(ISNUMBER(tblSOW7[[#This Row],[% work on project]]))),"Please Enter Organic FTE",
IF(AND(ISNUMBER(SEARCH("-E999",tblSOW7[[#This Row],[Budget Item]])),NOT(ISNUMBER(tblSOW7[[#This Row],[External Expenses/Revenues USD]]))),"Please Enter External Expenses",
"")))</calculatedColumnFormula>
    </tableColumn>
    <tableColumn id="23" xr3:uid="{B09DD8E8-E18D-466D-8A1F-7ADDF04D801D}" name="Budget total cost" dataDxfId="367" totalsRowDxfId="304">
      <calculatedColumnFormula>SUM(tblSOW7[[#This Row],[Jan 2023 USD]:[Dec 2023 USD]])</calculatedColumnFormula>
    </tableColumn>
    <tableColumn id="24" xr3:uid="{34B3BD23-7319-4AB4-90B8-D02042A400C9}" name="Jan 2023 USD" totalsRowFunction="sum" dataDxfId="366" totalsRowDxfId="303">
      <calculatedColumnFormula>tblSOW7[[#This Row],[FTE Cost]]*tblSOW7[[#This Row],[% work on project]]*AK4/tblSOW7[[#This Row],[Duration]]+tblSOW7[[#This Row],[Task Cost]]*AW4+tblSOW7[[#This Row],[External Expenses/Revenues USD]]*BI4/tblSOW7[[#This Row],[Duration]]</calculatedColumnFormula>
    </tableColumn>
    <tableColumn id="25" xr3:uid="{236D432D-F2FB-4E81-926F-40A38465B863}" name="Feb 2023 USD" totalsRowFunction="sum" dataDxfId="365" totalsRowDxfId="302">
      <calculatedColumnFormula>tblSOW7[[#This Row],[FTE Cost]]*tblSOW7[[#This Row],[% work on project]]*AL4/tblSOW7[[#This Row],[Duration]]+tblSOW7[[#This Row],[Task Cost]]*AX4+tblSOW7[[#This Row],[External Expenses/Revenues USD]]*BJ4/tblSOW7[[#This Row],[Duration]]</calculatedColumnFormula>
    </tableColumn>
    <tableColumn id="26" xr3:uid="{3D43646C-C862-474B-A026-567C1C05A30A}" name="Mar 2023 USD" totalsRowFunction="sum" dataDxfId="364" totalsRowDxfId="301">
      <calculatedColumnFormula>tblSOW7[[#This Row],[FTE Cost]]*tblSOW7[[#This Row],[% work on project]]*AM4/tblSOW7[[#This Row],[Duration]]+tblSOW7[[#This Row],[Task Cost]]*AY4+tblSOW7[[#This Row],[External Expenses/Revenues USD]]*BK4/tblSOW7[[#This Row],[Duration]]</calculatedColumnFormula>
    </tableColumn>
    <tableColumn id="27" xr3:uid="{723C3ED6-6B9D-4F78-A482-2E90DFF9EA75}" name="Apr 2023 USD" totalsRowFunction="sum" dataDxfId="363" totalsRowDxfId="300">
      <calculatedColumnFormula>tblSOW7[[#This Row],[FTE Cost]]*tblSOW7[[#This Row],[% work on project]]*AN4/tblSOW7[[#This Row],[Duration]]+tblSOW7[[#This Row],[Task Cost]]*AZ4+tblSOW7[[#This Row],[External Expenses/Revenues USD]]*BL4/tblSOW7[[#This Row],[Duration]]</calculatedColumnFormula>
    </tableColumn>
    <tableColumn id="28" xr3:uid="{541D0927-CFE1-4BB6-B467-3A601142C859}" name="May 2023 USD" totalsRowFunction="sum" dataDxfId="362" totalsRowDxfId="299">
      <calculatedColumnFormula>tblSOW7[[#This Row],[FTE Cost]]*tblSOW7[[#This Row],[% work on project]]*AO4/tblSOW7[[#This Row],[Duration]]+tblSOW7[[#This Row],[Task Cost]]*BA4+tblSOW7[[#This Row],[External Expenses/Revenues USD]]*BM4/tblSOW7[[#This Row],[Duration]]</calculatedColumnFormula>
    </tableColumn>
    <tableColumn id="29" xr3:uid="{3A8948AD-7E75-4C75-82A1-7F7D4C2D4584}" name="Jun 2023 USD" totalsRowFunction="sum" dataDxfId="361" totalsRowDxfId="298">
      <calculatedColumnFormula>tblSOW7[[#This Row],[FTE Cost]]*tblSOW7[[#This Row],[% work on project]]*AP4/tblSOW7[[#This Row],[Duration]]+tblSOW7[[#This Row],[Task Cost]]*BB4+tblSOW7[[#This Row],[External Expenses/Revenues USD]]*BN4/tblSOW7[[#This Row],[Duration]]</calculatedColumnFormula>
    </tableColumn>
    <tableColumn id="30" xr3:uid="{D85AC32F-5014-44EE-AB0C-9C38A6C2003E}" name="Jul 2023 USD" totalsRowFunction="sum" dataDxfId="360" totalsRowDxfId="297">
      <calculatedColumnFormula>tblSOW7[[#This Row],[FTE Cost]]*tblSOW7[[#This Row],[% work on project]]*AQ4/tblSOW7[[#This Row],[Duration]]+tblSOW7[[#This Row],[Task Cost]]*BC4+tblSOW7[[#This Row],[External Expenses/Revenues USD]]*BO4/tblSOW7[[#This Row],[Duration]]</calculatedColumnFormula>
    </tableColumn>
    <tableColumn id="31" xr3:uid="{9C347BF0-658C-44F6-AF20-CEC2450607FE}" name="Aug 2023 USD" totalsRowFunction="sum" dataDxfId="359" totalsRowDxfId="296">
      <calculatedColumnFormula>tblSOW7[[#This Row],[FTE Cost]]*tblSOW7[[#This Row],[% work on project]]*AR4/tblSOW7[[#This Row],[Duration]]+tblSOW7[[#This Row],[Task Cost]]*BD4+tblSOW7[[#This Row],[External Expenses/Revenues USD]]*BP4/tblSOW7[[#This Row],[Duration]]</calculatedColumnFormula>
    </tableColumn>
    <tableColumn id="32" xr3:uid="{13AF47C8-B5FD-4558-A7DB-63B447F1255B}" name="Sep 2023 USD" totalsRowFunction="sum" dataDxfId="358" totalsRowDxfId="295">
      <calculatedColumnFormula>tblSOW7[[#This Row],[FTE Cost]]*tblSOW7[[#This Row],[% work on project]]*AS4/tblSOW7[[#This Row],[Duration]]+tblSOW7[[#This Row],[Task Cost]]*BE4+tblSOW7[[#This Row],[External Expenses/Revenues USD]]*BQ4/tblSOW7[[#This Row],[Duration]]</calculatedColumnFormula>
    </tableColumn>
    <tableColumn id="33" xr3:uid="{4F0D0FE3-2CE5-4A4D-A97D-EA880B453565}" name="Oct 2023 USD" totalsRowFunction="sum" dataDxfId="357" totalsRowDxfId="294">
      <calculatedColumnFormula>tblSOW7[[#This Row],[FTE Cost]]*tblSOW7[[#This Row],[% work on project]]*AT4/tblSOW7[[#This Row],[Duration]]+tblSOW7[[#This Row],[Task Cost]]*BF4+tblSOW7[[#This Row],[External Expenses/Revenues USD]]*BR4/tblSOW7[[#This Row],[Duration]]</calculatedColumnFormula>
    </tableColumn>
    <tableColumn id="34" xr3:uid="{9A64CA47-8C75-43DF-B908-3340A08D4395}" name="Nov 2023 USD" totalsRowFunction="sum" dataDxfId="356" totalsRowDxfId="293">
      <calculatedColumnFormula>tblSOW7[[#This Row],[FTE Cost]]*tblSOW7[[#This Row],[% work on project]]*AU4/tblSOW7[[#This Row],[Duration]]+tblSOW7[[#This Row],[Task Cost]]*BG4+tblSOW7[[#This Row],[External Expenses/Revenues USD]]*BS4/tblSOW7[[#This Row],[Duration]]</calculatedColumnFormula>
    </tableColumn>
    <tableColumn id="35" xr3:uid="{3C01E0DC-7D66-4ACE-BEC6-00A88CCCEC5C}" name="Dec 2023 USD" totalsRowFunction="sum" dataDxfId="355" totalsRowDxfId="292">
      <calculatedColumnFormula>tblSOW7[[#This Row],[FTE Cost]]*tblSOW7[[#This Row],[% work on project]]*AV4/tblSOW7[[#This Row],[Duration]]+tblSOW7[[#This Row],[Task Cost]]*BH4+tblSOW7[[#This Row],[External Expenses/Revenues USD]]*BT4/tblSOW7[[#This Row],[Duration]]</calculatedColumnFormula>
    </tableColumn>
    <tableColumn id="36" xr3:uid="{01714994-EAF6-4845-8A1B-D25985B46D43}" name="Jan 2023 FTE" dataDxfId="354" totalsRowDxfId="291">
      <calculatedColumnFormula>$S4/$BU4*BI4</calculatedColumnFormula>
    </tableColumn>
    <tableColumn id="37" xr3:uid="{1C80F516-7E60-492A-BA2A-337F5A28B09C}" name="Feb 2023 FTE" dataDxfId="353" totalsRowDxfId="290">
      <calculatedColumnFormula>$S4/$BU4*BJ4</calculatedColumnFormula>
    </tableColumn>
    <tableColumn id="38" xr3:uid="{98FADB37-17FD-4A10-89E2-B2A7DF22B95D}" name="Mar 2023 FTE" dataDxfId="352" totalsRowDxfId="289">
      <calculatedColumnFormula>$S4/$BU4*BK4</calculatedColumnFormula>
    </tableColumn>
    <tableColumn id="39" xr3:uid="{AA07F395-B1E5-4419-9FB8-115C9E0EB571}" name="Apr 2023 FTE" dataDxfId="351" totalsRowDxfId="288">
      <calculatedColumnFormula>$S4/$BU4*BL4</calculatedColumnFormula>
    </tableColumn>
    <tableColumn id="40" xr3:uid="{2A8611AB-0838-42E0-9344-40AB92038FFD}" name="May 2023 FTE" dataDxfId="350" totalsRowDxfId="287">
      <calculatedColumnFormula>$S4/$BU4*BM4</calculatedColumnFormula>
    </tableColumn>
    <tableColumn id="41" xr3:uid="{B4A57A3C-95A1-4EED-A659-D99BEA50BC1D}" name="Jun 2023 FTE" dataDxfId="349" totalsRowDxfId="286">
      <calculatedColumnFormula>$S4/$BU4*BN4</calculatedColumnFormula>
    </tableColumn>
    <tableColumn id="42" xr3:uid="{DB8E5555-DFF4-4A71-A19D-CBD48DB91154}" name="Jul 2023 FTE" dataDxfId="348" totalsRowDxfId="285">
      <calculatedColumnFormula>$S4/$BU4*BO4</calculatedColumnFormula>
    </tableColumn>
    <tableColumn id="43" xr3:uid="{46DD61E2-74DE-4306-B3BB-2022C357547E}" name="Aug 2023 FTE" dataDxfId="347" totalsRowDxfId="284">
      <calculatedColumnFormula>$S4/$BU4*BP4</calculatedColumnFormula>
    </tableColumn>
    <tableColumn id="44" xr3:uid="{8A57A054-4A81-4668-A778-6BAAC8EE26DD}" name="Sep 2023 FTE" dataDxfId="346" totalsRowDxfId="283">
      <calculatedColumnFormula>$S4/$BU4*BQ4</calculatedColumnFormula>
    </tableColumn>
    <tableColumn id="45" xr3:uid="{2B107AD6-5D9C-454A-87EE-8527F4463099}" name="Oct 2023 FTE" dataDxfId="345" totalsRowDxfId="282">
      <calculatedColumnFormula>$S4/$BU4*BR4</calculatedColumnFormula>
    </tableColumn>
    <tableColumn id="46" xr3:uid="{86882F5C-A1E5-4E8A-BA6D-8B96EF2BBB85}" name="Nov 2023 FTE" dataDxfId="344" totalsRowDxfId="281">
      <calculatedColumnFormula>$S4/$BU4*BS4</calculatedColumnFormula>
    </tableColumn>
    <tableColumn id="47" xr3:uid="{C56F3B4E-A3F2-422A-9478-F2DABE922776}" name="Dec 2023 FTE" dataDxfId="343" totalsRowDxfId="280">
      <calculatedColumnFormula>$S4/$BU4*BT4</calculatedColumnFormula>
    </tableColumn>
    <tableColumn id="48" xr3:uid="{3C6E1B15-C771-49F6-ACB6-60095613791F}" name="Jan 2023 Units" dataDxfId="342" totalsRowDxfId="279">
      <calculatedColumnFormula>$U4/$BU4*BI4</calculatedColumnFormula>
    </tableColumn>
    <tableColumn id="49" xr3:uid="{527C7BDD-F2E1-4735-80E2-73D95E9D2321}" name="Feb 2023 Units" dataDxfId="341" totalsRowDxfId="278">
      <calculatedColumnFormula>$U4/$BU4*BJ4</calculatedColumnFormula>
    </tableColumn>
    <tableColumn id="50" xr3:uid="{8402FF9C-5526-49CE-9A55-5AF19E41E404}" name="Mar 2023 Units" dataDxfId="340" totalsRowDxfId="277">
      <calculatedColumnFormula>$U4/$BU4*BK4</calculatedColumnFormula>
    </tableColumn>
    <tableColumn id="51" xr3:uid="{C1432000-D28C-46BF-81C4-4A265C795821}" name="Apr 2023 Units" dataDxfId="339" totalsRowDxfId="276">
      <calculatedColumnFormula>$U4/$BU4*BL4</calculatedColumnFormula>
    </tableColumn>
    <tableColumn id="52" xr3:uid="{B9F82DBD-EF3D-4C51-B4D2-FA41198DA221}" name="May 2023 Units" dataDxfId="338" totalsRowDxfId="275">
      <calculatedColumnFormula>$U4/$BU4*BM4</calculatedColumnFormula>
    </tableColumn>
    <tableColumn id="53" xr3:uid="{1871FAD6-0382-4D0B-A60B-5206978B98FB}" name="Jun 2023 Units" dataDxfId="337" totalsRowDxfId="274">
      <calculatedColumnFormula>$U4/$BU4*BN4</calculatedColumnFormula>
    </tableColumn>
    <tableColumn id="54" xr3:uid="{2376F677-16FE-4255-84BE-3D5CE869E5F5}" name="Jul 2023 Units" dataDxfId="336" totalsRowDxfId="273">
      <calculatedColumnFormula>$U4/$BU4*BO4</calculatedColumnFormula>
    </tableColumn>
    <tableColumn id="55" xr3:uid="{16A8B5C5-BAEC-4687-8258-81D423F9D49D}" name="Aug 2023 Units" dataDxfId="335" totalsRowDxfId="272">
      <calculatedColumnFormula>$U4/$BU4*BP4</calculatedColumnFormula>
    </tableColumn>
    <tableColumn id="56" xr3:uid="{0973177F-32E4-40D7-8387-BBF1BE55004C}" name="Sep 2023 Units" dataDxfId="334" totalsRowDxfId="271">
      <calculatedColumnFormula>$U4/$BU4*BQ4</calculatedColumnFormula>
    </tableColumn>
    <tableColumn id="57" xr3:uid="{E1625563-9D8B-46B1-A220-CB1B53FC2DD7}" name="Oct 2023 Units" dataDxfId="333" totalsRowDxfId="270">
      <calculatedColumnFormula>$U4/$BU4*BR4</calculatedColumnFormula>
    </tableColumn>
    <tableColumn id="58" xr3:uid="{BFBEA683-7211-4F9C-B4C8-DAB33776ECA2}" name="Nov 2023 Units" dataDxfId="332" totalsRowDxfId="269">
      <calculatedColumnFormula>$U4/$BU4*BS4</calculatedColumnFormula>
    </tableColumn>
    <tableColumn id="59" xr3:uid="{83215686-4983-4C12-A22D-33246D8C0D4B}" name="Dec 2023 Units" dataDxfId="331" totalsRowDxfId="268">
      <calculatedColumnFormula>$U4/$BU4*BT4</calculatedColumnFormula>
    </tableColumn>
    <tableColumn id="60" xr3:uid="{08E7C3C9-3495-4DAD-BA3F-2B973B028324}" name="P1" dataDxfId="330" totalsRowDxfId="267">
      <calculatedColumnFormula>IF($S4&gt;0,IF(AND(MONTH($P4)&lt;=BI$1,MONTH($Q4)&gt;=BI$1),1,0),0)</calculatedColumnFormula>
    </tableColumn>
    <tableColumn id="61" xr3:uid="{4E12EC60-47B8-47F2-8C4A-4DBEDCEF5EEB}" name="P2" dataDxfId="329" totalsRowDxfId="266">
      <calculatedColumnFormula>IF($S4&gt;0,IF(AND(MONTH($P4)&lt;=BJ$1,MONTH($Q4)&gt;=BJ$1),1,0),0)</calculatedColumnFormula>
    </tableColumn>
    <tableColumn id="62" xr3:uid="{282250AA-ACF4-4BA4-B7B8-19F950DED565}" name="P3" dataDxfId="328" totalsRowDxfId="265">
      <calculatedColumnFormula>IF($S4&gt;0,IF(AND(MONTH($P4)&lt;=BK$1,MONTH($Q4)&gt;=BK$1),1,0),0)</calculatedColumnFormula>
    </tableColumn>
    <tableColumn id="63" xr3:uid="{48B06CB5-4C71-4F27-A936-A7E2865D5A32}" name="P4" dataDxfId="327" totalsRowDxfId="264">
      <calculatedColumnFormula>IF($S4&gt;0,IF(AND(MONTH($P4)&lt;=BL$1,MONTH($Q4)&gt;=BL$1),1,0),0)</calculatedColumnFormula>
    </tableColumn>
    <tableColumn id="64" xr3:uid="{E91E4890-24B9-43DE-8D7F-1B46583794E1}" name="P5" dataDxfId="326" totalsRowDxfId="263">
      <calculatedColumnFormula>IF($S4&gt;0,IF(AND(MONTH($P4)&lt;=BM$1,MONTH($Q4)&gt;=BM$1),1,0),0)</calculatedColumnFormula>
    </tableColumn>
    <tableColumn id="65" xr3:uid="{28F4AFD0-5060-4E66-81BB-7D065627E557}" name="P6" dataDxfId="325" totalsRowDxfId="262">
      <calculatedColumnFormula>IF($S4&gt;0,IF(AND(MONTH($P4)&lt;=BN$1,MONTH($Q4)&gt;=BN$1),1,0),0)</calculatedColumnFormula>
    </tableColumn>
    <tableColumn id="66" xr3:uid="{3DD08583-9AE2-4DC9-BBF7-EEE3E3709CBB}" name="P7" dataDxfId="324" totalsRowDxfId="261">
      <calculatedColumnFormula>IF($S4&gt;0,IF(AND(MONTH($P4)&lt;=BO$1,MONTH($Q4)&gt;=BO$1),1,0),0)</calculatedColumnFormula>
    </tableColumn>
    <tableColumn id="67" xr3:uid="{4C9E3B3F-3D85-40A0-AC76-6319EA0B3FE0}" name="P8" dataDxfId="323" totalsRowDxfId="260">
      <calculatedColumnFormula>IF($S4&gt;0,IF(AND(MONTH($P4)&lt;=BP$1,MONTH($Q4)&gt;=BP$1),1,0),0)</calculatedColumnFormula>
    </tableColumn>
    <tableColumn id="68" xr3:uid="{77232F95-D97A-4CF0-8F48-3C63F6EB50B0}" name="P9" dataDxfId="322" totalsRowDxfId="259">
      <calculatedColumnFormula>IF($S4&gt;0,IF(AND(MONTH($P4)&lt;=BQ$1,MONTH($Q4)&gt;=BQ$1),1,0),0)</calculatedColumnFormula>
    </tableColumn>
    <tableColumn id="69" xr3:uid="{22CE05EC-7010-4143-8BF3-FD8AB5AB59D4}" name="P10" dataDxfId="321" totalsRowDxfId="258">
      <calculatedColumnFormula>IF($S4&gt;0,IF(AND(MONTH($P4)&lt;=BR$1,MONTH($Q4)&gt;=BR$1),1,0),0)</calculatedColumnFormula>
    </tableColumn>
    <tableColumn id="70" xr3:uid="{2437CCDD-E2E1-447B-8E0F-0AC6E024FF0D}" name="P11" dataDxfId="320" totalsRowDxfId="257">
      <calculatedColumnFormula>IF($S4&gt;0,IF(AND(MONTH($P4)&lt;=BS$1,MONTH($Q4)&gt;=BS$1),1,0),0)</calculatedColumnFormula>
    </tableColumn>
    <tableColumn id="71" xr3:uid="{A0E22990-1C3B-4B1D-AAC8-A11F3E184E62}" name="P12" dataDxfId="319" totalsRowDxfId="256">
      <calculatedColumnFormula>IF($S4&gt;0,IF(AND(MONTH($P4)&lt;=BT$1,MONTH($Q4)&gt;=BT$1),1,0),0)</calculatedColumnFormula>
    </tableColumn>
    <tableColumn id="72" xr3:uid="{C4046C68-D719-47B0-910E-816BA8B7A3D8}" name="Total" dataDxfId="318" totalsRowDxfId="255">
      <calculatedColumnFormula>SUM(tblSOW7[[#This Row],[P1]:[P12]])</calculatedColumnFormula>
    </tableColumn>
    <tableColumn id="73" xr3:uid="{31A090AC-64E2-4837-B5C9-200B0D5EB50A}" name="FTE Cost" dataDxfId="317" totalsRowDxfId="254">
      <calculatedColumnFormula>IFERROR(VLOOKUP(H4,[29]Parameters!CK:CN,3,0),0)</calculatedColumnFormula>
    </tableColumn>
    <tableColumn id="74" xr3:uid="{2CEEB05C-44BD-42ED-B522-BC21211854FB}" name="Task Cost" dataDxfId="316" totalsRowDxfId="253">
      <calculatedColumnFormula>IFERROR(VLOOKUP(K4,[29]Parameters!BN:BW,10,0),0)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17AF983-BC77-4FC9-9C56-C747270E3DA1}" name="tblSOW6" displayName="tblSOW6" ref="A3:BW13" totalsRowShown="0" headerRowDxfId="481" dataDxfId="405">
  <autoFilter ref="A3:BW13" xr:uid="{00000000-0009-0000-0100-000001000000}"/>
  <tableColumns count="75">
    <tableColumn id="1" xr3:uid="{47E6684E-FADE-4A7D-ACAF-D9DB31F3F698}" name="Budget Item" dataDxfId="480">
      <calculatedColumnFormula>CONCATENATE(INDEX([28]Parameters!$U$1:$V$20,MATCH(C4,[28]Parameters!$V$1:$V$20,0),1),"/",VLOOKUP(D4,[28]Parameters!$CG$1:$CH$12,2,0),".",E4,".",H4,".",LEFT(J4,3),"-",LEFT(K4,4))</calculatedColumnFormula>
    </tableColumn>
    <tableColumn id="2" xr3:uid="{BE8AF046-4BA1-4EB6-9291-0236CF216D10}" name="Company" dataDxfId="479"/>
    <tableColumn id="3" xr3:uid="{7628FB58-8635-4883-822B-ECF4A6480F3B}" name="Division" dataDxfId="478"/>
    <tableColumn id="4" xr3:uid="{28839830-C7A8-4778-89CA-1B67C60A9487}" name="FinReport" dataDxfId="477" dataCellStyle="Neutral"/>
    <tableColumn id="5" xr3:uid="{444F9EAE-1D24-4393-BD27-9031E3DDD6B4}" name="Project Code" dataDxfId="476" dataCellStyle="Neutral">
      <calculatedColumnFormula>VLOOKUP(F4,[28]Parameters!P:T,4,0)</calculatedColumnFormula>
    </tableColumn>
    <tableColumn id="6" xr3:uid="{6EE5ADA9-25D8-4A88-8689-71D7B4C5B8AF}" name="Project Name" dataDxfId="475"/>
    <tableColumn id="75" xr3:uid="{F1D74A9C-CA79-4C6F-B53A-4535D0D5CC2D}" name="Activity" dataDxfId="474"/>
    <tableColumn id="14" xr3:uid="{001CBC9E-6A1C-4659-AB3F-5C1F87BDE070}" name="DepartmentNo." dataDxfId="473" dataCellStyle="Comma">
      <calculatedColumnFormula>INDEX([28]Parameters!$B:$C,MATCH(I4,[28]Parameters!$C:$C,0),1)</calculatedColumnFormula>
    </tableColumn>
    <tableColumn id="15" xr3:uid="{DD04EDBE-23FE-4211-A47A-647EA019C9EB}" name="Department" dataDxfId="472"/>
    <tableColumn id="17" xr3:uid="{54E85871-6E4B-4E56-9771-02F9D5C94BBF}" name="Nominal" dataDxfId="471"/>
    <tableColumn id="18" xr3:uid="{60871A98-6957-4601-BAAB-02EEB7EC013E}" name="Ending" dataDxfId="470"/>
    <tableColumn id="8" xr3:uid="{CA815692-257D-4E82-A4ED-0226401091A5}" name="Title" dataDxfId="469">
      <calculatedColumnFormula>IFERROR(VLOOKUP(tblSOW6[[#This Row],[Employee name ]],[28]Parameters!CP:CS,4,0),"")</calculatedColumnFormula>
    </tableColumn>
    <tableColumn id="9" xr3:uid="{79B4523E-5E7E-4820-8D17-16250AFED12A}" name="Employee name " dataDxfId="468"/>
    <tableColumn id="10" xr3:uid="{89B7CF80-6EEE-4E15-91E1-40B3F7F4B315}" name="Comment - Division" dataDxfId="467"/>
    <tableColumn id="11" xr3:uid="{C6352C48-8421-49E9-B08F-F5529A051165}" name="Comment - CPB" dataDxfId="466"/>
    <tableColumn id="12" xr3:uid="{034CFF6E-870E-4703-80BE-43791B4E1408}" name="Start Timeframe" dataDxfId="465"/>
    <tableColumn id="13" xr3:uid="{736D0CEB-5303-4E93-A3BC-213D5FECF05A}" name="End Timeframe" dataDxfId="464"/>
    <tableColumn id="16" xr3:uid="{C613A9BB-036F-46D1-916B-AE516DCB32B7}" name="Employee Name" dataDxfId="463"/>
    <tableColumn id="19" xr3:uid="{0FEDCDA0-18B5-49EC-A180-297D3B7E857D}" name="Duration" dataDxfId="462">
      <calculatedColumnFormula>IF(OR(P4="",Q4=""),0,MONTH(Q4)-MONTH(P4)+1)</calculatedColumnFormula>
    </tableColumn>
    <tableColumn id="20" xr3:uid="{BE275838-600A-4B4F-859A-15F0F5D20DC7}" name="% work on project" dataDxfId="461"/>
    <tableColumn id="21" xr3:uid="{E562C5B6-F964-49A8-BAF4-337E56C64295}" name="Task Units" dataDxfId="460"/>
    <tableColumn id="7" xr3:uid="{F87351BE-D804-44AA-A8AD-A35CD095228F}" name="External Expenses/Revenues USD" dataDxfId="459"/>
    <tableColumn id="76" xr3:uid="{77A4EB92-9104-4F30-8C47-15B818A2E96C}" name="Control" dataDxfId="458">
      <calculatedColumnFormula>IF(AND(ISNUMBER(SEARCH("-T",tblSOW6[[#This Row],[Budget Item]])),NOT(ISNUMBER(tblSOW6[[#This Row],[Task Units]]))),"Please Enter Task Units",
IF(AND(ISNUMBER(SEARCH("-E000",tblSOW6[[#This Row],[Budget Item]])),NOT(ISNUMBER(tblSOW6[[#This Row],[% work on project]]))),"Please Enter Organic FTE",
IF(AND(ISNUMBER(SEARCH("-E999",tblSOW6[[#This Row],[Budget Item]])),NOT(ISNUMBER(tblSOW6[[#This Row],[External Expenses/Revenues USD]]))),"Please Enter External Expenses",
"")))</calculatedColumnFormula>
    </tableColumn>
    <tableColumn id="23" xr3:uid="{6E1CBA3F-89FD-45DE-B015-CDE45E325B85}" name="Budget total cost" dataDxfId="457">
      <calculatedColumnFormula>SUM(tblSOW6[[#This Row],[Jan 2023 USD]:[Dec 2023 USD]])</calculatedColumnFormula>
    </tableColumn>
    <tableColumn id="24" xr3:uid="{E1638595-C5AD-4E16-BAE0-C62F87050D9B}" name="Jan 2023 USD" dataDxfId="456">
      <calculatedColumnFormula>tblSOW6[[#This Row],[FTE Cost]]*tblSOW6[[#This Row],[% work on project]]*AK4/12+tblSOW6[[#This Row],[Task Cost]]*AW4+tblSOW6[[#This Row],[External Expenses/Revenues USD]]*BI4/tblSOW6[[#This Row],[Duration]]</calculatedColumnFormula>
    </tableColumn>
    <tableColumn id="25" xr3:uid="{0123C2D6-C1BC-41EA-85FE-61ED0FD0B547}" name="Feb 2023 USD" dataDxfId="455">
      <calculatedColumnFormula>tblSOW6[[#This Row],[FTE Cost]]*tblSOW6[[#This Row],[% work on project]]*AL4/12+tblSOW6[[#This Row],[Task Cost]]*AX4+tblSOW6[[#This Row],[External Expenses/Revenues USD]]*BJ4/tblSOW6[[#This Row],[Duration]]</calculatedColumnFormula>
    </tableColumn>
    <tableColumn id="26" xr3:uid="{29DD3C14-C128-4F9C-B6D0-EC65E73E2ADC}" name="Mar 2023 USD" dataDxfId="454">
      <calculatedColumnFormula>tblSOW6[[#This Row],[FTE Cost]]*tblSOW6[[#This Row],[% work on project]]*AM4/12+tblSOW6[[#This Row],[Task Cost]]*AY4+tblSOW6[[#This Row],[External Expenses/Revenues USD]]*BK4/tblSOW6[[#This Row],[Duration]]</calculatedColumnFormula>
    </tableColumn>
    <tableColumn id="27" xr3:uid="{A3324E2E-7CD9-4CB6-B7B5-6254825EC18C}" name="Apr 2023 USD" dataDxfId="453">
      <calculatedColumnFormula>tblSOW6[[#This Row],[FTE Cost]]*tblSOW6[[#This Row],[% work on project]]*AN4/12+tblSOW6[[#This Row],[Task Cost]]*AZ4+tblSOW6[[#This Row],[External Expenses/Revenues USD]]*BL4/tblSOW6[[#This Row],[Duration]]</calculatedColumnFormula>
    </tableColumn>
    <tableColumn id="28" xr3:uid="{4ADDF26B-296C-4060-A086-334887003501}" name="May 2023 USD" dataDxfId="452">
      <calculatedColumnFormula>tblSOW6[[#This Row],[FTE Cost]]*tblSOW6[[#This Row],[% work on project]]*AO4/12+tblSOW6[[#This Row],[Task Cost]]*BA4+tblSOW6[[#This Row],[External Expenses/Revenues USD]]*BM4/tblSOW6[[#This Row],[Duration]]</calculatedColumnFormula>
    </tableColumn>
    <tableColumn id="29" xr3:uid="{3FB17BDA-6410-40B1-B43F-2820E9543353}" name="Jun 2023 USD" dataDxfId="451">
      <calculatedColumnFormula>tblSOW6[[#This Row],[FTE Cost]]*tblSOW6[[#This Row],[% work on project]]*AP4/12+tblSOW6[[#This Row],[Task Cost]]*BB4+tblSOW6[[#This Row],[External Expenses/Revenues USD]]*BN4/tblSOW6[[#This Row],[Duration]]</calculatedColumnFormula>
    </tableColumn>
    <tableColumn id="30" xr3:uid="{9B48CC5F-3A87-4B92-88F2-E658CDCE7394}" name="Jul 2023 USD" dataDxfId="450">
      <calculatedColumnFormula>tblSOW6[[#This Row],[FTE Cost]]*tblSOW6[[#This Row],[% work on project]]*AQ4/12+tblSOW6[[#This Row],[Task Cost]]*BC4+tblSOW6[[#This Row],[External Expenses/Revenues USD]]*BO4/tblSOW6[[#This Row],[Duration]]</calculatedColumnFormula>
    </tableColumn>
    <tableColumn id="31" xr3:uid="{4D8A07B9-35A0-4B34-BB56-B4D52FB4D2F2}" name="Aug 2023 USD" dataDxfId="449">
      <calculatedColumnFormula>tblSOW6[[#This Row],[FTE Cost]]*tblSOW6[[#This Row],[% work on project]]*AR4/12+tblSOW6[[#This Row],[Task Cost]]*BD4+tblSOW6[[#This Row],[External Expenses/Revenues USD]]*BP4/tblSOW6[[#This Row],[Duration]]</calculatedColumnFormula>
    </tableColumn>
    <tableColumn id="32" xr3:uid="{EDDA8D35-4886-4B79-BB39-A73BCB355E5C}" name="Sep 2023 USD" dataDxfId="448">
      <calculatedColumnFormula>tblSOW6[[#This Row],[FTE Cost]]*tblSOW6[[#This Row],[% work on project]]*AS4/12+tblSOW6[[#This Row],[Task Cost]]*BE4+tblSOW6[[#This Row],[External Expenses/Revenues USD]]*BQ4/tblSOW6[[#This Row],[Duration]]</calculatedColumnFormula>
    </tableColumn>
    <tableColumn id="33" xr3:uid="{A61E76BA-BB1E-402F-90F7-0A81BB30DCE0}" name="Oct 2023 USD" dataDxfId="447">
      <calculatedColumnFormula>tblSOW6[[#This Row],[FTE Cost]]*tblSOW6[[#This Row],[% work on project]]*AT4/12+tblSOW6[[#This Row],[Task Cost]]*BF4+tblSOW6[[#This Row],[External Expenses/Revenues USD]]*BR4/tblSOW6[[#This Row],[Duration]]</calculatedColumnFormula>
    </tableColumn>
    <tableColumn id="34" xr3:uid="{45A13E43-3D3C-48DA-AE2B-9892BA57DBAE}" name="Nov 2023 USD" dataDxfId="446">
      <calculatedColumnFormula>tblSOW6[[#This Row],[FTE Cost]]*tblSOW6[[#This Row],[% work on project]]*AU4/12+tblSOW6[[#This Row],[Task Cost]]*BG4+tblSOW6[[#This Row],[External Expenses/Revenues USD]]*BS4/tblSOW6[[#This Row],[Duration]]</calculatedColumnFormula>
    </tableColumn>
    <tableColumn id="35" xr3:uid="{F46928A6-513E-4797-B5CA-3D84A087724B}" name="Dec 2023 USD" dataDxfId="445">
      <calculatedColumnFormula>tblSOW6[[#This Row],[FTE Cost]]*tblSOW6[[#This Row],[% work on project]]*AV4/12+tblSOW6[[#This Row],[Task Cost]]*BH4+tblSOW6[[#This Row],[External Expenses/Revenues USD]]*BT4/tblSOW6[[#This Row],[Duration]]</calculatedColumnFormula>
    </tableColumn>
    <tableColumn id="36" xr3:uid="{776CFA8C-7C73-47A1-B002-232F1C30DB12}" name="Jan 2023 FTE" dataDxfId="444">
      <calculatedColumnFormula>$S4/$BU4*BI4</calculatedColumnFormula>
    </tableColumn>
    <tableColumn id="37" xr3:uid="{C2CFA596-F41B-4DAB-9F63-A39A4F852D7B}" name="Feb 2023 FTE" dataDxfId="443">
      <calculatedColumnFormula>$S4/$BU4*BJ4</calculatedColumnFormula>
    </tableColumn>
    <tableColumn id="38" xr3:uid="{DF2C662F-9BE0-46AB-9807-0C1900C73DDA}" name="Mar 2023 FTE" dataDxfId="442">
      <calculatedColumnFormula>$S4/$BU4*BK4</calculatedColumnFormula>
    </tableColumn>
    <tableColumn id="39" xr3:uid="{78874657-B6A1-4A36-8D34-D5984C529250}" name="Apr 2023 FTE" dataDxfId="441">
      <calculatedColumnFormula>$S4/$BU4*BL4</calculatedColumnFormula>
    </tableColumn>
    <tableColumn id="40" xr3:uid="{A5221E90-4C22-4D88-A54D-FEC2FF48789E}" name="May 2023 FTE" dataDxfId="440">
      <calculatedColumnFormula>$S4/$BU4*BM4</calculatedColumnFormula>
    </tableColumn>
    <tableColumn id="41" xr3:uid="{0C1C261B-7B43-4C8F-9DB5-C8E3F63ED27A}" name="Jun 2023 FTE" dataDxfId="439">
      <calculatedColumnFormula>$S4/$BU4*BN4</calculatedColumnFormula>
    </tableColumn>
    <tableColumn id="42" xr3:uid="{A6FBBE6A-40A4-4AAF-8AA3-AEB632C964E0}" name="Jul 2023 FTE" dataDxfId="438">
      <calculatedColumnFormula>$S4/$BU4*BO4</calculatedColumnFormula>
    </tableColumn>
    <tableColumn id="43" xr3:uid="{0F9CCC36-4055-4B3A-ACB4-C64B70A8B1FD}" name="Aug 2023 FTE" dataDxfId="437">
      <calculatedColumnFormula>$S4/$BU4*BP4</calculatedColumnFormula>
    </tableColumn>
    <tableColumn id="44" xr3:uid="{99FC4144-9D5C-42EC-976B-B319F08BCBB5}" name="Sep 2023 FTE" dataDxfId="436">
      <calculatedColumnFormula>$S4/$BU4*BQ4</calculatedColumnFormula>
    </tableColumn>
    <tableColumn id="45" xr3:uid="{B1BCEC6D-649A-44F0-BA09-F5F19947D399}" name="Oct 2023 FTE" dataDxfId="435">
      <calculatedColumnFormula>$S4/$BU4*BR4</calculatedColumnFormula>
    </tableColumn>
    <tableColumn id="46" xr3:uid="{BADE3BB7-B467-4DAA-BA7A-F06711A5CA11}" name="Nov 2023 FTE" dataDxfId="434">
      <calculatedColumnFormula>$S4/$BU4*BS4</calculatedColumnFormula>
    </tableColumn>
    <tableColumn id="47" xr3:uid="{99A58351-62CE-4D84-99CA-67F9EE1D6E39}" name="Dec 2023 FTE" dataDxfId="433">
      <calculatedColumnFormula>$S4/$BU4*BT4</calculatedColumnFormula>
    </tableColumn>
    <tableColumn id="48" xr3:uid="{CEBDCDB7-57C5-466A-9F4E-F2FCEAE6C74C}" name="Jan 2023 Units" dataDxfId="432">
      <calculatedColumnFormula>$U4/$BU4*BI4</calculatedColumnFormula>
    </tableColumn>
    <tableColumn id="49" xr3:uid="{BDAD9903-9B77-42A9-A4A2-1C4F471F57A9}" name="Feb 2023 Units" dataDxfId="431">
      <calculatedColumnFormula>$U4/$BU4*BJ4</calculatedColumnFormula>
    </tableColumn>
    <tableColumn id="50" xr3:uid="{024CB02E-AD78-4B2C-B14A-BD6529249815}" name="Mar 2023 Units" dataDxfId="430">
      <calculatedColumnFormula>$U4/$BU4*BK4</calculatedColumnFormula>
    </tableColumn>
    <tableColumn id="51" xr3:uid="{F6F2EAF4-86A1-4E32-BEFC-897A3E946A44}" name="Apr 2023 Units" dataDxfId="429">
      <calculatedColumnFormula>$U4/$BU4*BL4</calculatedColumnFormula>
    </tableColumn>
    <tableColumn id="52" xr3:uid="{22116CA5-FBE3-420C-9EFA-9D6EA545557C}" name="May 2023 Units" dataDxfId="428">
      <calculatedColumnFormula>$U4/$BU4*BM4</calculatedColumnFormula>
    </tableColumn>
    <tableColumn id="53" xr3:uid="{E39DFDF0-6A99-43A0-B529-4A6A18B06704}" name="Jun 2023 Units" dataDxfId="427">
      <calculatedColumnFormula>$U4/$BU4*BN4</calculatedColumnFormula>
    </tableColumn>
    <tableColumn id="54" xr3:uid="{652B9012-92BC-443C-BA37-EF8EF45876C8}" name="Jul 2023 Units" dataDxfId="426">
      <calculatedColumnFormula>$U4/$BU4*BO4</calculatedColumnFormula>
    </tableColumn>
    <tableColumn id="55" xr3:uid="{8594D9D8-25BA-48A0-A84F-CD3AC2211AC4}" name="Aug 2023 Units" dataDxfId="425">
      <calculatedColumnFormula>$U4/$BU4*BP4</calculatedColumnFormula>
    </tableColumn>
    <tableColumn id="56" xr3:uid="{C98E3D99-29B2-4DA1-B48A-8D0C1DE44561}" name="Sep 2023 Units" dataDxfId="424">
      <calculatedColumnFormula>$U4/$BU4*BQ4</calculatedColumnFormula>
    </tableColumn>
    <tableColumn id="57" xr3:uid="{A0C6FF38-8262-43F2-867B-412AC0F3CA2A}" name="Oct 2023 Units" dataDxfId="423">
      <calculatedColumnFormula>$U4/$BU4*BR4</calculatedColumnFormula>
    </tableColumn>
    <tableColumn id="58" xr3:uid="{4A5A28B2-CA81-4DCF-9C85-38A74CA13305}" name="Nov 2023 Units" dataDxfId="422">
      <calculatedColumnFormula>$U4/$BU4*BS4</calculatedColumnFormula>
    </tableColumn>
    <tableColumn id="59" xr3:uid="{1CB79BD3-02BF-4E21-8063-402E97AEB052}" name="Dec 2023 Units" dataDxfId="421">
      <calculatedColumnFormula>$U4/$BU4*BT4</calculatedColumnFormula>
    </tableColumn>
    <tableColumn id="60" xr3:uid="{B12CB29B-0A91-46CA-A0AD-CF94CC578872}" name="P1" dataDxfId="420">
      <calculatedColumnFormula>IF($S4&gt;0,IF(AND(MONTH($P4)&lt;=BI$1,MONTH($Q4)&gt;=BI$1),1,0),0)</calculatedColumnFormula>
    </tableColumn>
    <tableColumn id="61" xr3:uid="{09F9A6F8-E90F-438D-9340-03F0E27BFF4F}" name="P2" dataDxfId="419">
      <calculatedColumnFormula>IF($S4&gt;0,IF(AND(MONTH($P4)&lt;=BJ$1,MONTH($Q4)&gt;=BJ$1),1,0),0)</calculatedColumnFormula>
    </tableColumn>
    <tableColumn id="62" xr3:uid="{D5458B20-44EF-4C92-B075-98081335008C}" name="P3" dataDxfId="418">
      <calculatedColumnFormula>IF($S4&gt;0,IF(AND(MONTH($P4)&lt;=BK$1,MONTH($Q4)&gt;=BK$1),1,0),0)</calculatedColumnFormula>
    </tableColumn>
    <tableColumn id="63" xr3:uid="{363647B4-0F0A-4A5D-871D-C129538FAA65}" name="P4" dataDxfId="417">
      <calculatedColumnFormula>IF($S4&gt;0,IF(AND(MONTH($P4)&lt;=BL$1,MONTH($Q4)&gt;=BL$1),1,0),0)</calculatedColumnFormula>
    </tableColumn>
    <tableColumn id="64" xr3:uid="{08AD7DF6-A7F7-4F55-A86F-0E318CEC8F13}" name="P5" dataDxfId="416">
      <calculatedColumnFormula>IF($S4&gt;0,IF(AND(MONTH($P4)&lt;=BM$1,MONTH($Q4)&gt;=BM$1),1,0),0)</calculatedColumnFormula>
    </tableColumn>
    <tableColumn id="65" xr3:uid="{F8B9D400-4171-4E2B-905D-42A91AF8AD25}" name="P6" dataDxfId="415">
      <calculatedColumnFormula>IF($S4&gt;0,IF(AND(MONTH($P4)&lt;=BN$1,MONTH($Q4)&gt;=BN$1),1,0),0)</calculatedColumnFormula>
    </tableColumn>
    <tableColumn id="66" xr3:uid="{48801BD2-80B1-4A75-89D8-FF7AD98AD5CA}" name="P7" dataDxfId="414">
      <calculatedColumnFormula>IF($S4&gt;0,IF(AND(MONTH($P4)&lt;=BO$1,MONTH($Q4)&gt;=BO$1),1,0),0)</calculatedColumnFormula>
    </tableColumn>
    <tableColumn id="67" xr3:uid="{B40C006D-40C7-470C-B825-5948BC75F771}" name="P8" dataDxfId="413">
      <calculatedColumnFormula>IF($S4&gt;0,IF(AND(MONTH($P4)&lt;=BP$1,MONTH($Q4)&gt;=BP$1),1,0),0)</calculatedColumnFormula>
    </tableColumn>
    <tableColumn id="68" xr3:uid="{128535C7-43F3-4B11-A6B4-E51BC35D10BA}" name="P9" dataDxfId="412">
      <calculatedColumnFormula>IF($S4&gt;0,IF(AND(MONTH($P4)&lt;=BQ$1,MONTH($Q4)&gt;=BQ$1),1,0),0)</calculatedColumnFormula>
    </tableColumn>
    <tableColumn id="69" xr3:uid="{839C798C-D86E-474C-95E9-8CE27C8E1E41}" name="P10" dataDxfId="411">
      <calculatedColumnFormula>IF($S4&gt;0,IF(AND(MONTH($P4)&lt;=BR$1,MONTH($Q4)&gt;=BR$1),1,0),0)</calculatedColumnFormula>
    </tableColumn>
    <tableColumn id="70" xr3:uid="{681E865A-47BB-41DF-ADF1-C7D80AE7661B}" name="P11" dataDxfId="410">
      <calculatedColumnFormula>IF($S4&gt;0,IF(AND(MONTH($P4)&lt;=BS$1,MONTH($Q4)&gt;=BS$1),1,0),0)</calculatedColumnFormula>
    </tableColumn>
    <tableColumn id="71" xr3:uid="{47ACC646-075F-4685-80B4-DB02335A0891}" name="P12" dataDxfId="409">
      <calculatedColumnFormula>IF($S4&gt;0,IF(AND(MONTH($P4)&lt;=BT$1,MONTH($Q4)&gt;=BT$1),1,0),0)</calculatedColumnFormula>
    </tableColumn>
    <tableColumn id="72" xr3:uid="{41DE14F5-826A-4CCE-8E76-413A2234C97C}" name="Total" dataDxfId="408">
      <calculatedColumnFormula>SUM(tblSOW6[[#This Row],[P1]:[P12]])</calculatedColumnFormula>
    </tableColumn>
    <tableColumn id="73" xr3:uid="{6972A086-9093-42B6-BADC-06F2E62A2C19}" name="FTE Cost" dataDxfId="407">
      <calculatedColumnFormula>IFERROR(VLOOKUP(H4,[28]Parameters!CK:CN,3,0),0)</calculatedColumnFormula>
    </tableColumn>
    <tableColumn id="74" xr3:uid="{1C628165-427C-4960-826A-C1EA63223156}" name="Task Cost" dataDxfId="406">
      <calculatedColumnFormula>IFERROR(VLOOKUP(K4,[28]Parameters!BN:BW,10,0),0)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913783E-5EF4-449B-9DF0-2A5EED5582A5}" name="tblSOW5" displayName="tblSOW5" ref="A3:BW4" insertRow="1" totalsRowShown="0" headerRowDxfId="558" dataDxfId="557">
  <autoFilter ref="A3:BW4" xr:uid="{00000000-0009-0000-0100-000001000000}"/>
  <tableColumns count="75">
    <tableColumn id="1" xr3:uid="{AFA0A259-D889-43D9-8351-08B574C5EBF3}" name="Budget Item" dataDxfId="556">
      <calculatedColumnFormula>CONCATENATE(INDEX([24]Parameters!$U$1:$V$20,MATCH(C4,[24]Parameters!$V$1:$V$20,0),1),"/",VLOOKUP(D4,[24]Parameters!$CG$1:$CH$12,2,0),".",E4,".",H4,".",LEFT(J4,3),"-",LEFT(K4,4))</calculatedColumnFormula>
    </tableColumn>
    <tableColumn id="2" xr3:uid="{18E96025-540D-45A5-83B9-FBB71E3CD978}" name="Company" dataDxfId="555"/>
    <tableColumn id="3" xr3:uid="{016E38BD-8453-4BA9-B2C5-A2C8E6DCAAC4}" name="Division" dataDxfId="554"/>
    <tableColumn id="4" xr3:uid="{65C71139-FE63-4468-A932-C561591C47E0}" name="FinReport" dataDxfId="553" dataCellStyle="Neutral"/>
    <tableColumn id="5" xr3:uid="{EA7C8DE6-29F7-4092-B0EA-CBFCEC76A4D0}" name="Project Code" dataDxfId="552" dataCellStyle="Neutral">
      <calculatedColumnFormula>VLOOKUP(F4,[24]Parameters!P:T,4,0)</calculatedColumnFormula>
    </tableColumn>
    <tableColumn id="6" xr3:uid="{A5F9CBDA-D31B-4057-9AC7-DE240C9AD974}" name="Project Name" dataDxfId="551"/>
    <tableColumn id="75" xr3:uid="{F77B7CFA-A82B-4DC6-A49B-AEB38EFD9465}" name="Activity" dataDxfId="550"/>
    <tableColumn id="14" xr3:uid="{C6E70869-C19D-414B-A536-D624F71EC684}" name="DepartmentNo." dataDxfId="549" dataCellStyle="Comma">
      <calculatedColumnFormula>INDEX([25]Parameters!$B:$C,MATCH(I4,[25]Parameters!$C:$C,0),1)</calculatedColumnFormula>
    </tableColumn>
    <tableColumn id="15" xr3:uid="{B2829C4D-28D8-4F0C-BBEE-C22E22AECC75}" name="Department" dataDxfId="548"/>
    <tableColumn id="17" xr3:uid="{C3E5B66A-FB4C-4518-AB33-8702C41FCEF2}" name="Nominal" dataDxfId="547"/>
    <tableColumn id="18" xr3:uid="{D088CF14-AB3D-4A48-8007-6EF165A55859}" name="Ending" dataDxfId="546"/>
    <tableColumn id="8" xr3:uid="{3DCD4F8D-B19F-437B-AA17-8C66EE8DC98E}" name="Title" dataDxfId="545">
      <calculatedColumnFormula>IFERROR(VLOOKUP([25]!tblSOW[[#This Row],[Employee name ]],[25]Parameters!CP:CS,4,0),"")</calculatedColumnFormula>
    </tableColumn>
    <tableColumn id="9" xr3:uid="{2B29ECF9-9FB2-48B7-A7CE-CB168E725DE8}" name="Employee name " dataDxfId="544">
      <calculatedColumnFormula>Q4&amp;" "&amp;R4</calculatedColumnFormula>
    </tableColumn>
    <tableColumn id="10" xr3:uid="{976AAA8B-201A-45EF-A787-20AC4F6B1F41}" name="Comment - Division" dataDxfId="543"/>
    <tableColumn id="11" xr3:uid="{62AC72AA-5157-475C-B82E-508539B6F6EA}" name="Comment - CPB" dataDxfId="542"/>
    <tableColumn id="12" xr3:uid="{C156E76C-363E-4F40-84F1-B2E2277C4E04}" name="Start Timeframe" dataDxfId="541"/>
    <tableColumn id="13" xr3:uid="{85777E76-0017-48A7-BB74-454892A137EB}" name="End Timeframe" dataDxfId="540"/>
    <tableColumn id="16" xr3:uid="{81C4661E-8ABD-465A-9CA6-8262430B1D65}" name="Employee Name" dataDxfId="539"/>
    <tableColumn id="19" xr3:uid="{72D98129-3BAD-41AE-BD35-D693C9846D00}" name="Duration" dataDxfId="538">
      <calculatedColumnFormula>IF(OR(P4="",Q4=""),0,MONTH(Q4)-MONTH(P4)+1)</calculatedColumnFormula>
    </tableColumn>
    <tableColumn id="20" xr3:uid="{F1DA5195-6F83-4A8A-8DED-383B3F773452}" name="% work on project" dataDxfId="537"/>
    <tableColumn id="21" xr3:uid="{0FB1A531-1B01-4E8B-AC9D-D75A522D44FE}" name="Task Units" dataDxfId="536"/>
    <tableColumn id="7" xr3:uid="{DFFA1897-8E80-435F-8288-0841370E919C}" name="External Expenses/Revenues USD" dataDxfId="535"/>
    <tableColumn id="76" xr3:uid="{C4E1FBE7-0F12-4813-93D5-5AD11F3DDAFE}" name="Control" dataDxfId="534">
      <calculatedColumnFormula>IF(AND(ISNUMBER(SEARCH("-T",tblSOW5[[#This Row],[Budget Item]])),NOT(ISNUMBER(tblSOW5[[#This Row],[Task Units]]))),"Please Enter Task Units",
IF(AND(ISNUMBER(SEARCH("-E000",tblSOW5[[#This Row],[Budget Item]])),NOT(ISNUMBER(tblSOW5[[#This Row],[% work on project]]))),"Please Enter Organic FTE",
IF(AND(ISNUMBER(SEARCH("-E999",tblSOW5[[#This Row],[Budget Item]])),NOT(ISNUMBER(tblSOW5[[#This Row],[External Expenses/Revenues USD]]))),"Please Enter External Expenses",
"")))</calculatedColumnFormula>
    </tableColumn>
    <tableColumn id="23" xr3:uid="{553BDFD6-909F-460D-AF83-F9B378EFD9FB}" name="Budget total cost" dataDxfId="533">
      <calculatedColumnFormula>SUM(tblSOW5[[#This Row],[Jan 2023 USD]:[Dec 2023 USD]])</calculatedColumnFormula>
    </tableColumn>
    <tableColumn id="24" xr3:uid="{39E60106-BF3B-487D-AC65-CF5C81853512}" name="Jan 2023 USD" dataDxfId="532">
      <calculatedColumnFormula>tblSOW5[[#This Row],[FTE Cost]]*tblSOW5[[#This Row],[% work on project]]*AK4/12+tblSOW5[[#This Row],[Task Cost]]*AW4+tblSOW5[[#This Row],[External Expenses/Revenues USD]]*BI4/tblSOW5[[#This Row],[Duration]]</calculatedColumnFormula>
    </tableColumn>
    <tableColumn id="25" xr3:uid="{84BEAE1C-C334-4D2F-BEBC-9323FA13B096}" name="Feb 2023 USD" dataDxfId="531">
      <calculatedColumnFormula>tblSOW5[[#This Row],[FTE Cost]]*tblSOW5[[#This Row],[% work on project]]*AL4/12+tblSOW5[[#This Row],[Task Cost]]*AX4+tblSOW5[[#This Row],[External Expenses/Revenues USD]]*BJ4/tblSOW5[[#This Row],[Duration]]</calculatedColumnFormula>
    </tableColumn>
    <tableColumn id="26" xr3:uid="{FCB7AE70-7681-439E-B2F5-03CB493B9FD2}" name="Mar 2023 USD" dataDxfId="530">
      <calculatedColumnFormula>tblSOW5[[#This Row],[FTE Cost]]*tblSOW5[[#This Row],[% work on project]]*AM4/12+tblSOW5[[#This Row],[Task Cost]]*AY4+tblSOW5[[#This Row],[External Expenses/Revenues USD]]*BK4/tblSOW5[[#This Row],[Duration]]</calculatedColumnFormula>
    </tableColumn>
    <tableColumn id="27" xr3:uid="{C4BE3E60-9649-4FE2-9965-127D5189AA6C}" name="Apr 2023 USD" dataDxfId="529">
      <calculatedColumnFormula>tblSOW5[[#This Row],[FTE Cost]]*tblSOW5[[#This Row],[% work on project]]*AN4/12+tblSOW5[[#This Row],[Task Cost]]*AZ4+tblSOW5[[#This Row],[External Expenses/Revenues USD]]*BL4/tblSOW5[[#This Row],[Duration]]</calculatedColumnFormula>
    </tableColumn>
    <tableColumn id="28" xr3:uid="{85679627-28CC-45FF-910E-C8627907A133}" name="May 2023 USD" dataDxfId="528">
      <calculatedColumnFormula>tblSOW5[[#This Row],[FTE Cost]]*tblSOW5[[#This Row],[% work on project]]*AO4/12+tblSOW5[[#This Row],[Task Cost]]*BA4+tblSOW5[[#This Row],[External Expenses/Revenues USD]]*BM4/tblSOW5[[#This Row],[Duration]]</calculatedColumnFormula>
    </tableColumn>
    <tableColumn id="29" xr3:uid="{3B710508-0F06-4192-B672-2191E4F8A6EE}" name="Jun 2023 USD" dataDxfId="527">
      <calculatedColumnFormula>tblSOW5[[#This Row],[FTE Cost]]*tblSOW5[[#This Row],[% work on project]]*AP4/12+tblSOW5[[#This Row],[Task Cost]]*BB4+tblSOW5[[#This Row],[External Expenses/Revenues USD]]*BN4/tblSOW5[[#This Row],[Duration]]</calculatedColumnFormula>
    </tableColumn>
    <tableColumn id="30" xr3:uid="{22B9D44F-7495-4931-B978-D7FE0E077787}" name="Jul 2023 USD" dataDxfId="526">
      <calculatedColumnFormula>tblSOW5[[#This Row],[FTE Cost]]*tblSOW5[[#This Row],[% work on project]]*AQ4/12+tblSOW5[[#This Row],[Task Cost]]*BC4+tblSOW5[[#This Row],[External Expenses/Revenues USD]]*BO4/tblSOW5[[#This Row],[Duration]]</calculatedColumnFormula>
    </tableColumn>
    <tableColumn id="31" xr3:uid="{5BD46576-7234-452F-A6A6-E32861E483BA}" name="Aug 2023 USD" dataDxfId="525">
      <calculatedColumnFormula>tblSOW5[[#This Row],[FTE Cost]]*tblSOW5[[#This Row],[% work on project]]*AR4/12+tblSOW5[[#This Row],[Task Cost]]*BD4+tblSOW5[[#This Row],[External Expenses/Revenues USD]]*BP4/tblSOW5[[#This Row],[Duration]]</calculatedColumnFormula>
    </tableColumn>
    <tableColumn id="32" xr3:uid="{03D3BB33-6881-44EC-9909-128AB76B17F4}" name="Sep 2023 USD" dataDxfId="524">
      <calculatedColumnFormula>tblSOW5[[#This Row],[FTE Cost]]*tblSOW5[[#This Row],[% work on project]]*AS4/12+tblSOW5[[#This Row],[Task Cost]]*BE4+tblSOW5[[#This Row],[External Expenses/Revenues USD]]*BQ4/tblSOW5[[#This Row],[Duration]]</calculatedColumnFormula>
    </tableColumn>
    <tableColumn id="33" xr3:uid="{6FB53E1E-7211-4026-90C2-46B845947DC5}" name="Oct 2023 USD" dataDxfId="523">
      <calculatedColumnFormula>tblSOW5[[#This Row],[FTE Cost]]*tblSOW5[[#This Row],[% work on project]]*AT4/12+tblSOW5[[#This Row],[Task Cost]]*BF4+tblSOW5[[#This Row],[External Expenses/Revenues USD]]*BR4/tblSOW5[[#This Row],[Duration]]</calculatedColumnFormula>
    </tableColumn>
    <tableColumn id="34" xr3:uid="{19F5905C-0546-43A7-81EB-1D0F455D86B6}" name="Nov 2023 USD" dataDxfId="522">
      <calculatedColumnFormula>tblSOW5[[#This Row],[FTE Cost]]*tblSOW5[[#This Row],[% work on project]]*AU4/12+tblSOW5[[#This Row],[Task Cost]]*BG4+tblSOW5[[#This Row],[External Expenses/Revenues USD]]*BS4/tblSOW5[[#This Row],[Duration]]</calculatedColumnFormula>
    </tableColumn>
    <tableColumn id="35" xr3:uid="{749701B6-BA56-44A2-876F-B47A00A8D66F}" name="Dec 2023 USD" dataDxfId="521">
      <calculatedColumnFormula>tblSOW5[[#This Row],[FTE Cost]]*tblSOW5[[#This Row],[% work on project]]*AV4/12+tblSOW5[[#This Row],[Task Cost]]*BH4+tblSOW5[[#This Row],[External Expenses/Revenues USD]]*BT4/tblSOW5[[#This Row],[Duration]]</calculatedColumnFormula>
    </tableColumn>
    <tableColumn id="36" xr3:uid="{35B8FAAD-AB87-4FBE-8BF6-DF591C3B42DB}" name="Jan 2023 FTE" dataDxfId="520">
      <calculatedColumnFormula>$S4/$BU4*BI4</calculatedColumnFormula>
    </tableColumn>
    <tableColumn id="37" xr3:uid="{05D6E0AC-A667-43F7-A374-6CE3FCE57E0F}" name="Feb 2023 FTE" dataDxfId="519">
      <calculatedColumnFormula>$S4/$BU4*BJ4</calculatedColumnFormula>
    </tableColumn>
    <tableColumn id="38" xr3:uid="{2A12BF97-6270-49A3-B063-DFCC3DBCA409}" name="Mar 2023 FTE" dataDxfId="518">
      <calculatedColumnFormula>$S4/$BU4*BK4</calculatedColumnFormula>
    </tableColumn>
    <tableColumn id="39" xr3:uid="{78177E62-AA50-4665-AC1C-CA9FA71A9C3A}" name="Apr 2023 FTE" dataDxfId="517">
      <calculatedColumnFormula>$S4/$BU4*BL4</calculatedColumnFormula>
    </tableColumn>
    <tableColumn id="40" xr3:uid="{F0715C91-E33F-4E85-BD04-583278B826AD}" name="May 2023 FTE" dataDxfId="516">
      <calculatedColumnFormula>$S4/$BU4*BM4</calculatedColumnFormula>
    </tableColumn>
    <tableColumn id="41" xr3:uid="{D99EC496-B9B8-4089-9E81-38FBF240ADC5}" name="Jun 2023 FTE" dataDxfId="515">
      <calculatedColumnFormula>$S4/$BU4*BN4</calculatedColumnFormula>
    </tableColumn>
    <tableColumn id="42" xr3:uid="{1A9E66F2-40DE-4C4E-846B-097DE4172025}" name="Jul 2023 FTE" dataDxfId="514">
      <calculatedColumnFormula>$S4/$BU4*BO4</calculatedColumnFormula>
    </tableColumn>
    <tableColumn id="43" xr3:uid="{7D6EF099-203E-48D6-9586-006549D8697C}" name="Aug 2023 FTE" dataDxfId="513">
      <calculatedColumnFormula>$S4/$BU4*BP4</calculatedColumnFormula>
    </tableColumn>
    <tableColumn id="44" xr3:uid="{49671072-D1D4-491D-A224-7C2CE95CEE2B}" name="Sep 2023 FTE" dataDxfId="512">
      <calculatedColumnFormula>$S4/$BU4*BQ4</calculatedColumnFormula>
    </tableColumn>
    <tableColumn id="45" xr3:uid="{BC91D56F-E7DA-4D7B-81B7-BBF91BA9B587}" name="Oct 2023 FTE" dataDxfId="511">
      <calculatedColumnFormula>$S4/$BU4*BR4</calculatedColumnFormula>
    </tableColumn>
    <tableColumn id="46" xr3:uid="{2A074690-B481-4086-A30A-23CBD5E25EE2}" name="Nov 2023 FTE" dataDxfId="510">
      <calculatedColumnFormula>$S4/$BU4*BS4</calculatedColumnFormula>
    </tableColumn>
    <tableColumn id="47" xr3:uid="{2E8E63C0-E864-425A-8D71-625565967BE2}" name="Dec 2023 FTE" dataDxfId="509">
      <calculatedColumnFormula>$S4/$BU4*BT4</calculatedColumnFormula>
    </tableColumn>
    <tableColumn id="48" xr3:uid="{714C5F97-5D8E-42A1-97C2-D1E9AF6D2F03}" name="Jan 2023 Units" dataDxfId="508">
      <calculatedColumnFormula>$U4/$BU4*BI4</calculatedColumnFormula>
    </tableColumn>
    <tableColumn id="49" xr3:uid="{E69CBB85-45FE-4D86-A82B-C00B76B08C1A}" name="Feb 2023 Units" dataDxfId="507">
      <calculatedColumnFormula>$U4/$BU4*BJ4</calculatedColumnFormula>
    </tableColumn>
    <tableColumn id="50" xr3:uid="{E89DAA67-2C8D-4290-8EFF-4B093FE5C944}" name="Mar 2023 Units" dataDxfId="506">
      <calculatedColumnFormula>$U4/$BU4*BK4</calculatedColumnFormula>
    </tableColumn>
    <tableColumn id="51" xr3:uid="{EF61F7B9-34FE-4469-A31D-3F16C792A1F0}" name="Apr 2023 Units" dataDxfId="505">
      <calculatedColumnFormula>$U4/$BU4*BL4</calculatedColumnFormula>
    </tableColumn>
    <tableColumn id="52" xr3:uid="{A59254DF-0CBC-4417-9E9A-4FEB78C82074}" name="May 2023 Units" dataDxfId="504">
      <calculatedColumnFormula>$U4/$BU4*BM4</calculatedColumnFormula>
    </tableColumn>
    <tableColumn id="53" xr3:uid="{90FBC1F1-412B-41BA-9E1E-996B69835A2E}" name="Jun 2023 Units" dataDxfId="503">
      <calculatedColumnFormula>$U4/$BU4*BN4</calculatedColumnFormula>
    </tableColumn>
    <tableColumn id="54" xr3:uid="{8EA5E065-18B2-49DE-B5EB-5FCA1CB7EFA6}" name="Jul 2023 Units" dataDxfId="502">
      <calculatedColumnFormula>$U4/$BU4*BO4</calculatedColumnFormula>
    </tableColumn>
    <tableColumn id="55" xr3:uid="{5A6E4F95-913E-4759-B96C-AD185E90CF20}" name="Aug 2023 Units" dataDxfId="501">
      <calculatedColumnFormula>$U4/$BU4*BP4</calculatedColumnFormula>
    </tableColumn>
    <tableColumn id="56" xr3:uid="{6C3C46E7-EF3D-42B6-B32C-BFB0245049EE}" name="Sep 2023 Units" dataDxfId="500">
      <calculatedColumnFormula>$U4/$BU4*BQ4</calculatedColumnFormula>
    </tableColumn>
    <tableColumn id="57" xr3:uid="{E06ABCBC-065F-4D66-8F8E-A263B1A24059}" name="Oct 2023 Units" dataDxfId="499">
      <calculatedColumnFormula>$U4/$BU4*BR4</calculatedColumnFormula>
    </tableColumn>
    <tableColumn id="58" xr3:uid="{280AC719-DFBC-4260-9941-CBE98617FFE4}" name="Nov 2023 Units" dataDxfId="498">
      <calculatedColumnFormula>$U4/$BU4*BS4</calculatedColumnFormula>
    </tableColumn>
    <tableColumn id="59" xr3:uid="{46891732-3F0B-40B9-ADC4-AF3244DB6BAB}" name="Dec 2023 Units" dataDxfId="497">
      <calculatedColumnFormula>$U4/$BU4*BT4</calculatedColumnFormula>
    </tableColumn>
    <tableColumn id="60" xr3:uid="{71E4E087-76DD-41E7-97BF-7EF6ABD56AD9}" name="P1" dataDxfId="496">
      <calculatedColumnFormula>IF($S4&gt;0,IF(AND(MONTH($P4)&lt;=BI$1,MONTH($Q4)&gt;=BI$1),1,0),0)</calculatedColumnFormula>
    </tableColumn>
    <tableColumn id="61" xr3:uid="{EFB2E022-768D-4CB9-AD50-06B7A8CD7400}" name="P2" dataDxfId="495">
      <calculatedColumnFormula>IF($S4&gt;0,IF(AND(MONTH($P4)&lt;=BJ$1,MONTH($Q4)&gt;=BJ$1),1,0),0)</calculatedColumnFormula>
    </tableColumn>
    <tableColumn id="62" xr3:uid="{B4B1A637-3D1F-4401-B3AC-1B6DBE2DCAE6}" name="P3" dataDxfId="494">
      <calculatedColumnFormula>IF($S4&gt;0,IF(AND(MONTH($P4)&lt;=BK$1,MONTH($Q4)&gt;=BK$1),1,0),0)</calculatedColumnFormula>
    </tableColumn>
    <tableColumn id="63" xr3:uid="{5BB002EE-D960-46D2-A8E5-395EA906E409}" name="P4" dataDxfId="493">
      <calculatedColumnFormula>IF($S4&gt;0,IF(AND(MONTH($P4)&lt;=BL$1,MONTH($Q4)&gt;=BL$1),1,0),0)</calculatedColumnFormula>
    </tableColumn>
    <tableColumn id="64" xr3:uid="{34D92172-6495-4A83-9FDC-30E8E2C19A5D}" name="P5" dataDxfId="492">
      <calculatedColumnFormula>IF($S4&gt;0,IF(AND(MONTH($P4)&lt;=BM$1,MONTH($Q4)&gt;=BM$1),1,0),0)</calculatedColumnFormula>
    </tableColumn>
    <tableColumn id="65" xr3:uid="{4366AC3E-F792-4523-A633-EA9ECF147FE6}" name="P6" dataDxfId="491">
      <calculatedColumnFormula>IF($S4&gt;0,IF(AND(MONTH($P4)&lt;=BN$1,MONTH($Q4)&gt;=BN$1),1,0),0)</calculatedColumnFormula>
    </tableColumn>
    <tableColumn id="66" xr3:uid="{734BF1D7-C574-4261-99B9-556372F8EA86}" name="P7" dataDxfId="490">
      <calculatedColumnFormula>IF($S4&gt;0,IF(AND(MONTH($P4)&lt;=BO$1,MONTH($Q4)&gt;=BO$1),1,0),0)</calculatedColumnFormula>
    </tableColumn>
    <tableColumn id="67" xr3:uid="{9AFBC50A-CB14-401B-8AE7-FFF1872AD439}" name="P8" dataDxfId="489">
      <calculatedColumnFormula>IF($S4&gt;0,IF(AND(MONTH($P4)&lt;=BP$1,MONTH($Q4)&gt;=BP$1),1,0),0)</calculatedColumnFormula>
    </tableColumn>
    <tableColumn id="68" xr3:uid="{A4D6E310-3DAE-45C0-B0F4-0694564F7BE1}" name="P9" dataDxfId="488">
      <calculatedColumnFormula>IF($S4&gt;0,IF(AND(MONTH($P4)&lt;=BQ$1,MONTH($Q4)&gt;=BQ$1),1,0),0)</calculatedColumnFormula>
    </tableColumn>
    <tableColumn id="69" xr3:uid="{ABE2283B-C258-418E-A0EC-2BAE2960F86A}" name="P10" dataDxfId="487">
      <calculatedColumnFormula>IF($S4&gt;0,IF(AND(MONTH($P4)&lt;=BR$1,MONTH($Q4)&gt;=BR$1),1,0),0)</calculatedColumnFormula>
    </tableColumn>
    <tableColumn id="70" xr3:uid="{2CAC844A-9711-495D-805F-D6A3D0BFC742}" name="P11" dataDxfId="486">
      <calculatedColumnFormula>IF($S4&gt;0,IF(AND(MONTH($P4)&lt;=BS$1,MONTH($Q4)&gt;=BS$1),1,0),0)</calculatedColumnFormula>
    </tableColumn>
    <tableColumn id="71" xr3:uid="{62BF3216-A31E-4212-9AB5-F323B33D3C56}" name="P12" dataDxfId="485">
      <calculatedColumnFormula>IF($S4&gt;0,IF(AND(MONTH($P4)&lt;=BT$1,MONTH($Q4)&gt;=BT$1),1,0),0)</calculatedColumnFormula>
    </tableColumn>
    <tableColumn id="72" xr3:uid="{994DB750-CF37-4356-A7E1-F492E4F17ADC}" name="Total" dataDxfId="484">
      <calculatedColumnFormula>SUM(tblSOW5[[#This Row],[P1]:[P12]])</calculatedColumnFormula>
    </tableColumn>
    <tableColumn id="73" xr3:uid="{17D5E89E-2340-4709-ACDD-29A77BBC2F8F}" name="FTE Cost" dataDxfId="483">
      <calculatedColumnFormula>IFERROR(VLOOKUP(H4,[24]Parameters!CK:CN,3,0),0)</calculatedColumnFormula>
    </tableColumn>
    <tableColumn id="74" xr3:uid="{042F84F8-9BE1-4860-B51A-36C5374809B6}" name="Task Cost" dataDxfId="482">
      <calculatedColumnFormula>IFERROR(VLOOKUP(K4,[24]Parameters!BN:BW,10,0),0)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71FE74-D6BC-4AC1-88DB-EA9ADB266CBE}" name="tblSOW4" displayName="tblSOW4" ref="A3:BW5" totalsRowShown="0" headerRowDxfId="635" dataDxfId="559">
  <autoFilter ref="A3:BW5" xr:uid="{00000000-000C-0000-FFFF-FFFF00000000}"/>
  <tableColumns count="75">
    <tableColumn id="1" xr3:uid="{76957B95-D00A-4283-BF11-2DBFA9D9EA2E}" name="Budget Item" dataDxfId="634">
      <calculatedColumnFormula>CONCATENATE(INDEX([21]Parameters!$U$1:$V$20,MATCH(C4,[21]Parameters!$V$1:$V$20,0),1),"/",VLOOKUP(D4,[21]Parameters!$CG$1:$CH$12,2,0),".",E4,".",H4,".",LEFT(J4,3),"-",LEFT(K4,4))</calculatedColumnFormula>
    </tableColumn>
    <tableColumn id="2" xr3:uid="{32C579E3-7D0E-45B1-BF56-1AADE798957D}" name="Company" dataDxfId="633"/>
    <tableColumn id="3" xr3:uid="{88BCA2E1-46BC-4E40-85F4-C2CA5101BB6A}" name="Division" dataDxfId="632"/>
    <tableColumn id="4" xr3:uid="{948689DD-E3B7-48DB-B097-DC972CB59564}" name="FinReport" dataDxfId="631" dataCellStyle="Neutral"/>
    <tableColumn id="5" xr3:uid="{A289327B-8E73-489B-B8A9-A170C322E263}" name="Project Code" dataDxfId="630" dataCellStyle="Neutral">
      <calculatedColumnFormula>VLOOKUP(F4,[21]Parameters!P:T,4,0)</calculatedColumnFormula>
    </tableColumn>
    <tableColumn id="6" xr3:uid="{22E57353-93A5-448C-B07F-D1878195FB05}" name="Project Name" dataDxfId="629"/>
    <tableColumn id="75" xr3:uid="{AB08569A-653B-428E-8673-0128571E4A0B}" name="Activity" dataDxfId="628"/>
    <tableColumn id="14" xr3:uid="{FF5821B2-C48F-47FC-850B-26A9C830A137}" name="DepartmentNo." dataDxfId="627" dataCellStyle="Comma">
      <calculatedColumnFormula>INDEX([21]Parameters!$B:$C,MATCH(I4,[21]Parameters!$C:$C,0),1)</calculatedColumnFormula>
    </tableColumn>
    <tableColumn id="15" xr3:uid="{60B9823F-7FEE-4963-8A12-C4EE063F0695}" name="Department" dataDxfId="626"/>
    <tableColumn id="17" xr3:uid="{1B162347-196B-404C-B3CC-31327B0EF140}" name="Nominal" dataDxfId="625"/>
    <tableColumn id="18" xr3:uid="{BB9D851D-D6AA-4340-8C4A-3954C1C7BCF5}" name="Ending" dataDxfId="624"/>
    <tableColumn id="8" xr3:uid="{0A2918F6-1F58-4073-91A7-5FF4749CC1AF}" name="Title" dataDxfId="623">
      <calculatedColumnFormula>IFERROR(VLOOKUP(tblSOW4[[#This Row],[Employee name ]],[21]Parameters!CP:CS,4,0),"")</calculatedColumnFormula>
    </tableColumn>
    <tableColumn id="9" xr3:uid="{7C45FDA0-5105-4884-90FE-3B1582C20787}" name="Employee name " dataDxfId="622"/>
    <tableColumn id="10" xr3:uid="{493A31C1-E9D6-493B-B5EF-2177A6FA40E0}" name="Comment - Division" dataDxfId="621"/>
    <tableColumn id="11" xr3:uid="{CF81EB36-4EE4-4B71-BFD5-F0CF53C1F659}" name="Comment - CPB" dataDxfId="620"/>
    <tableColumn id="12" xr3:uid="{3A7F7BE4-EF08-4E28-BB91-06E0F56F6908}" name="Start Timeframe" dataDxfId="619"/>
    <tableColumn id="13" xr3:uid="{6EE2BB4B-3FCA-4568-B91F-04C4EE3318C5}" name="End Timeframe" dataDxfId="618"/>
    <tableColumn id="16" xr3:uid="{2B3CC20A-D4B8-4A51-94AF-DC4C0CF88E7F}" name="Employee Name" dataDxfId="617"/>
    <tableColumn id="19" xr3:uid="{4FBB0981-0FD5-4A0C-84F7-6C07DE99E21A}" name="Duration" dataDxfId="616">
      <calculatedColumnFormula>IF(OR(P4="",Q4=""),0,MONTH(Q4)-MONTH(P4)+1)</calculatedColumnFormula>
    </tableColumn>
    <tableColumn id="20" xr3:uid="{5F1260CA-49F3-414D-825A-69B6B6591848}" name="% work on project" dataDxfId="615"/>
    <tableColumn id="21" xr3:uid="{F89E5AA8-BF21-4BB6-9478-2B9817E69009}" name="Task Units" dataDxfId="614"/>
    <tableColumn id="7" xr3:uid="{34783BAF-5DA1-4E51-A181-2BBC27AF4066}" name="External Expenses/Revenues USD" dataDxfId="613"/>
    <tableColumn id="76" xr3:uid="{F3B4F392-D80F-42F0-9B17-BD64895C97F6}" name="Control" dataDxfId="612">
      <calculatedColumnFormula>IF(AND(ISNUMBER(SEARCH("-T",tblSOW4[[#This Row],[Budget Item]])),NOT(ISNUMBER(tblSOW4[[#This Row],[Task Units]]))),"Please Enter Task Units",
IF(AND(ISNUMBER(SEARCH("-E000",tblSOW4[[#This Row],[Budget Item]])),NOT(ISNUMBER(tblSOW4[[#This Row],[% work on project]]))),"Please Enter Organic FTE",
IF(AND(ISNUMBER(SEARCH("-E999",tblSOW4[[#This Row],[Budget Item]])),NOT(ISNUMBER(tblSOW4[[#This Row],[External Expenses/Revenues USD]]))),"Please Enter External Expenses",
"")))</calculatedColumnFormula>
    </tableColumn>
    <tableColumn id="23" xr3:uid="{62B2AE38-8092-4C4E-B3BB-C1B0E04D0180}" name="Budget total cost" dataDxfId="611">
      <calculatedColumnFormula>SUM(tblSOW4[[#This Row],[Jan 2023 USD]:[Dec 2023 USD]])</calculatedColumnFormula>
    </tableColumn>
    <tableColumn id="24" xr3:uid="{E2E97CCC-94A3-4E12-AB34-62CF1E516781}" name="Jan 2023 USD" dataDxfId="610">
      <calculatedColumnFormula>tblSOW4[[#This Row],[FTE Cost]]*tblSOW4[[#This Row],[% work on project]]*AK4/12+tblSOW4[[#This Row],[Task Cost]]*AW4+tblSOW4[[#This Row],[External Expenses/Revenues USD]]*BI4/tblSOW4[[#This Row],[Duration]]</calculatedColumnFormula>
    </tableColumn>
    <tableColumn id="25" xr3:uid="{05462C70-8B76-4E50-9110-42439496335E}" name="Feb 2023 USD" dataDxfId="609">
      <calculatedColumnFormula>tblSOW4[[#This Row],[FTE Cost]]*tblSOW4[[#This Row],[% work on project]]*AL4/12+tblSOW4[[#This Row],[Task Cost]]*AX4+tblSOW4[[#This Row],[External Expenses/Revenues USD]]*BJ4/tblSOW4[[#This Row],[Duration]]</calculatedColumnFormula>
    </tableColumn>
    <tableColumn id="26" xr3:uid="{1B4E4789-4C43-4AE1-BA7A-859A9A39B409}" name="Mar 2023 USD" dataDxfId="608">
      <calculatedColumnFormula>tblSOW4[[#This Row],[FTE Cost]]*tblSOW4[[#This Row],[% work on project]]*AM4/12+tblSOW4[[#This Row],[Task Cost]]*AY4+tblSOW4[[#This Row],[External Expenses/Revenues USD]]*BK4/tblSOW4[[#This Row],[Duration]]</calculatedColumnFormula>
    </tableColumn>
    <tableColumn id="27" xr3:uid="{2518D1D5-4535-4FDB-9EEA-DB9CEE36E1C5}" name="Apr 2023 USD" dataDxfId="607">
      <calculatedColumnFormula>tblSOW4[[#This Row],[FTE Cost]]*tblSOW4[[#This Row],[% work on project]]*AN4/12+tblSOW4[[#This Row],[Task Cost]]*AZ4+tblSOW4[[#This Row],[External Expenses/Revenues USD]]*BL4/tblSOW4[[#This Row],[Duration]]</calculatedColumnFormula>
    </tableColumn>
    <tableColumn id="28" xr3:uid="{FFB33437-DC73-4429-85A0-2C0CCDB059E5}" name="May 2023 USD" dataDxfId="606">
      <calculatedColumnFormula>tblSOW4[[#This Row],[FTE Cost]]*tblSOW4[[#This Row],[% work on project]]*AO4/12+tblSOW4[[#This Row],[Task Cost]]*BA4+tblSOW4[[#This Row],[External Expenses/Revenues USD]]*BM4/tblSOW4[[#This Row],[Duration]]</calculatedColumnFormula>
    </tableColumn>
    <tableColumn id="29" xr3:uid="{DBE3027E-A173-427B-85B7-CCA7E18F9899}" name="Jun 2023 USD" dataDxfId="605">
      <calculatedColumnFormula>tblSOW4[[#This Row],[FTE Cost]]*tblSOW4[[#This Row],[% work on project]]*AP4/12+tblSOW4[[#This Row],[Task Cost]]*BB4+tblSOW4[[#This Row],[External Expenses/Revenues USD]]*BN4/tblSOW4[[#This Row],[Duration]]</calculatedColumnFormula>
    </tableColumn>
    <tableColumn id="30" xr3:uid="{BE808924-0E5A-45ED-9183-46F0380B6247}" name="Jul 2023 USD" dataDxfId="604">
      <calculatedColumnFormula>tblSOW4[[#This Row],[FTE Cost]]*tblSOW4[[#This Row],[% work on project]]*AQ4/12+tblSOW4[[#This Row],[Task Cost]]*BC4+tblSOW4[[#This Row],[External Expenses/Revenues USD]]*BO4/tblSOW4[[#This Row],[Duration]]</calculatedColumnFormula>
    </tableColumn>
    <tableColumn id="31" xr3:uid="{A2F4F54E-A2E7-4391-801B-D0C9B4D368F3}" name="Aug 2023 USD" dataDxfId="603">
      <calculatedColumnFormula>tblSOW4[[#This Row],[FTE Cost]]*tblSOW4[[#This Row],[% work on project]]*AR4/12+tblSOW4[[#This Row],[Task Cost]]*BD4+tblSOW4[[#This Row],[External Expenses/Revenues USD]]*BP4/tblSOW4[[#This Row],[Duration]]</calculatedColumnFormula>
    </tableColumn>
    <tableColumn id="32" xr3:uid="{6F6485F9-BF21-4342-A02F-7F7AE841359F}" name="Sep 2023 USD" dataDxfId="602">
      <calculatedColumnFormula>tblSOW4[[#This Row],[FTE Cost]]*tblSOW4[[#This Row],[% work on project]]*AS4/12+tblSOW4[[#This Row],[Task Cost]]*BE4+tblSOW4[[#This Row],[External Expenses/Revenues USD]]*BQ4/tblSOW4[[#This Row],[Duration]]</calculatedColumnFormula>
    </tableColumn>
    <tableColumn id="33" xr3:uid="{D9D5832A-C826-4836-851E-68AB9A051B45}" name="Oct 2023 USD" dataDxfId="601">
      <calculatedColumnFormula>tblSOW4[[#This Row],[FTE Cost]]*tblSOW4[[#This Row],[% work on project]]*AT4/12+tblSOW4[[#This Row],[Task Cost]]*BF4+tblSOW4[[#This Row],[External Expenses/Revenues USD]]*BR4/tblSOW4[[#This Row],[Duration]]</calculatedColumnFormula>
    </tableColumn>
    <tableColumn id="34" xr3:uid="{9B304E53-B9E9-4F4C-81A0-9F44A0C882B5}" name="Nov 2023 USD" dataDxfId="600">
      <calculatedColumnFormula>tblSOW4[[#This Row],[FTE Cost]]*tblSOW4[[#This Row],[% work on project]]*AU4/12+tblSOW4[[#This Row],[Task Cost]]*BG4+tblSOW4[[#This Row],[External Expenses/Revenues USD]]*BS4/tblSOW4[[#This Row],[Duration]]</calculatedColumnFormula>
    </tableColumn>
    <tableColumn id="35" xr3:uid="{553FDB16-F0C8-4F35-9EB6-188820567C9C}" name="Dec 2023 USD" dataDxfId="599">
      <calculatedColumnFormula>tblSOW4[[#This Row],[FTE Cost]]*tblSOW4[[#This Row],[% work on project]]*AV4/12+tblSOW4[[#This Row],[Task Cost]]*BH4+tblSOW4[[#This Row],[External Expenses/Revenues USD]]*BT4/tblSOW4[[#This Row],[Duration]]</calculatedColumnFormula>
    </tableColumn>
    <tableColumn id="36" xr3:uid="{21E20824-D95A-45DB-A318-058AEF0EAE7D}" name="Jan 2023 FTE" dataDxfId="598">
      <calculatedColumnFormula>$S4/$BU4*BI4</calculatedColumnFormula>
    </tableColumn>
    <tableColumn id="37" xr3:uid="{83A926DA-4C09-4F44-8558-706DE413AE1C}" name="Feb 2023 FTE" dataDxfId="597">
      <calculatedColumnFormula>$S4/$BU4*BJ4</calculatedColumnFormula>
    </tableColumn>
    <tableColumn id="38" xr3:uid="{D28D8648-8CB5-44B2-9134-2B71CDC4F803}" name="Mar 2023 FTE" dataDxfId="596">
      <calculatedColumnFormula>$S4/$BU4*BK4</calculatedColumnFormula>
    </tableColumn>
    <tableColumn id="39" xr3:uid="{1B917861-1E04-42D8-B79C-2650495E53CE}" name="Apr 2023 FTE" dataDxfId="595">
      <calculatedColumnFormula>$S4/$BU4*BL4</calculatedColumnFormula>
    </tableColumn>
    <tableColumn id="40" xr3:uid="{58C27661-A6F2-480C-8C60-F4BF161555BD}" name="May 2023 FTE" dataDxfId="594">
      <calculatedColumnFormula>$S4/$BU4*BM4</calculatedColumnFormula>
    </tableColumn>
    <tableColumn id="41" xr3:uid="{1795FFE5-239C-498E-822D-AD99AC03534D}" name="Jun 2023 FTE" dataDxfId="593">
      <calculatedColumnFormula>$S4/$BU4*BN4</calculatedColumnFormula>
    </tableColumn>
    <tableColumn id="42" xr3:uid="{742C04F8-A976-4DDD-AB96-044F053CE59B}" name="Jul 2023 FTE" dataDxfId="592">
      <calculatedColumnFormula>$S4/$BU4*BO4</calculatedColumnFormula>
    </tableColumn>
    <tableColumn id="43" xr3:uid="{A9301F0D-2CC9-472E-BED1-60AF4302C129}" name="Aug 2023 FTE" dataDxfId="591">
      <calculatedColumnFormula>$S4/$BU4*BP4</calculatedColumnFormula>
    </tableColumn>
    <tableColumn id="44" xr3:uid="{FE63EAEF-9401-4DF3-BB33-02604C98A647}" name="Sep 2023 FTE" dataDxfId="590">
      <calculatedColumnFormula>$S4/$BU4*BQ4</calculatedColumnFormula>
    </tableColumn>
    <tableColumn id="45" xr3:uid="{C8B8B54C-3D95-4DB6-9776-1765574CF1F6}" name="Oct 2023 FTE" dataDxfId="589">
      <calculatedColumnFormula>$S4/$BU4*BR4</calculatedColumnFormula>
    </tableColumn>
    <tableColumn id="46" xr3:uid="{990DB582-62FD-4127-85EF-A172DA4E59F9}" name="Nov 2023 FTE" dataDxfId="588">
      <calculatedColumnFormula>$S4/$BU4*BS4</calculatedColumnFormula>
    </tableColumn>
    <tableColumn id="47" xr3:uid="{99BBEA9D-A2EC-481B-8C81-3D2CF0F46F51}" name="Dec 2023 FTE" dataDxfId="587">
      <calculatedColumnFormula>$S4/$BU4*BT4</calculatedColumnFormula>
    </tableColumn>
    <tableColumn id="48" xr3:uid="{0A20A872-7359-4226-AD17-ECE5D42F5B8E}" name="Jan 2023 Units" dataDxfId="586">
      <calculatedColumnFormula>$U4/$BU4*BI4</calculatedColumnFormula>
    </tableColumn>
    <tableColumn id="49" xr3:uid="{1B589025-AFE8-4501-B4B9-3D253E066B12}" name="Feb 2023 Units" dataDxfId="585">
      <calculatedColumnFormula>$U4/$BU4*BJ4</calculatedColumnFormula>
    </tableColumn>
    <tableColumn id="50" xr3:uid="{5AA9D7E9-CC33-45F4-A341-13CA63C26771}" name="Mar 2023 Units" dataDxfId="584">
      <calculatedColumnFormula>$U4/$BU4*BK4</calculatedColumnFormula>
    </tableColumn>
    <tableColumn id="51" xr3:uid="{DA841B0E-22AF-4140-9F67-757D42157E7B}" name="Apr 2023 Units" dataDxfId="583">
      <calculatedColumnFormula>$U4/$BU4*BL4</calculatedColumnFormula>
    </tableColumn>
    <tableColumn id="52" xr3:uid="{4C2B2725-B3FF-4BC5-A564-A17894138E43}" name="May 2023 Units" dataDxfId="582">
      <calculatedColumnFormula>$U4/$BU4*BM4</calculatedColumnFormula>
    </tableColumn>
    <tableColumn id="53" xr3:uid="{CF0E5323-609F-45AE-AC4A-C83C671F6BB1}" name="Jun 2023 Units" dataDxfId="581">
      <calculatedColumnFormula>$U4/$BU4*BN4</calculatedColumnFormula>
    </tableColumn>
    <tableColumn id="54" xr3:uid="{6693CC3D-F48D-4C43-98ED-0AA01B1DA00E}" name="Jul 2023 Units" dataDxfId="580">
      <calculatedColumnFormula>$U4/$BU4*BO4</calculatedColumnFormula>
    </tableColumn>
    <tableColumn id="55" xr3:uid="{FD9E6AB6-B465-4A48-A0A4-470A9B097B5E}" name="Aug 2023 Units" dataDxfId="579">
      <calculatedColumnFormula>$U4/$BU4*BP4</calculatedColumnFormula>
    </tableColumn>
    <tableColumn id="56" xr3:uid="{B832BB7D-5D51-4B23-BDF3-38ED0D83ACFD}" name="Sep 2023 Units" dataDxfId="578">
      <calculatedColumnFormula>$U4/$BU4*BQ4</calculatedColumnFormula>
    </tableColumn>
    <tableColumn id="57" xr3:uid="{2AE13795-9C40-4B93-BE41-7C788F9522AE}" name="Oct 2023 Units" dataDxfId="577">
      <calculatedColumnFormula>$U4/$BU4*BR4</calculatedColumnFormula>
    </tableColumn>
    <tableColumn id="58" xr3:uid="{1C25FD7B-2A20-4044-850C-643834272721}" name="Nov 2023 Units" dataDxfId="576">
      <calculatedColumnFormula>$U4/$BU4*BS4</calculatedColumnFormula>
    </tableColumn>
    <tableColumn id="59" xr3:uid="{E362EFC0-6F71-4443-B7DE-8FB2EF0E2F6B}" name="Dec 2023 Units" dataDxfId="575">
      <calculatedColumnFormula>$U4/$BU4*BT4</calculatedColumnFormula>
    </tableColumn>
    <tableColumn id="60" xr3:uid="{94788997-F51C-4C6A-87D1-5C9AFC53B83F}" name="P1" dataDxfId="574">
      <calculatedColumnFormula>IF($S4&gt;0,IF(AND(MONTH($P4)&lt;=BI$1,MONTH($Q4)&gt;=BI$1),1,0),0)</calculatedColumnFormula>
    </tableColumn>
    <tableColumn id="61" xr3:uid="{84784411-A207-4FE7-A3A6-50554B08A270}" name="P2" dataDxfId="573">
      <calculatedColumnFormula>IF($S4&gt;0,IF(AND(MONTH($P4)&lt;=BJ$1,MONTH($Q4)&gt;=BJ$1),1,0),0)</calculatedColumnFormula>
    </tableColumn>
    <tableColumn id="62" xr3:uid="{73842271-EBC1-4550-83D4-82D43FBDDD78}" name="P3" dataDxfId="572">
      <calculatedColumnFormula>IF($S4&gt;0,IF(AND(MONTH($P4)&lt;=BK$1,MONTH($Q4)&gt;=BK$1),1,0),0)</calculatedColumnFormula>
    </tableColumn>
    <tableColumn id="63" xr3:uid="{B6061DF8-B277-48E8-92A3-04E3EC58B98D}" name="P4" dataDxfId="571">
      <calculatedColumnFormula>IF($S4&gt;0,IF(AND(MONTH($P4)&lt;=BL$1,MONTH($Q4)&gt;=BL$1),1,0),0)</calculatedColumnFormula>
    </tableColumn>
    <tableColumn id="64" xr3:uid="{BC56C814-5189-48E7-B934-A73AE3A08D24}" name="P5" dataDxfId="570">
      <calculatedColumnFormula>IF($S4&gt;0,IF(AND(MONTH($P4)&lt;=BM$1,MONTH($Q4)&gt;=BM$1),1,0),0)</calculatedColumnFormula>
    </tableColumn>
    <tableColumn id="65" xr3:uid="{41BC4B78-3F49-412D-A0D1-04133353A94F}" name="P6" dataDxfId="569">
      <calculatedColumnFormula>IF($S4&gt;0,IF(AND(MONTH($P4)&lt;=BN$1,MONTH($Q4)&gt;=BN$1),1,0),0)</calculatedColumnFormula>
    </tableColumn>
    <tableColumn id="66" xr3:uid="{FCCF2885-38E3-4394-A2F9-6D5D1C76C10D}" name="P7" dataDxfId="568">
      <calculatedColumnFormula>IF($S4&gt;0,IF(AND(MONTH($P4)&lt;=BO$1,MONTH($Q4)&gt;=BO$1),1,0),0)</calculatedColumnFormula>
    </tableColumn>
    <tableColumn id="67" xr3:uid="{F1B29FA9-B405-4172-A203-E439662B7661}" name="P8" dataDxfId="567">
      <calculatedColumnFormula>IF($S4&gt;0,IF(AND(MONTH($P4)&lt;=BP$1,MONTH($Q4)&gt;=BP$1),1,0),0)</calculatedColumnFormula>
    </tableColumn>
    <tableColumn id="68" xr3:uid="{15E8D851-DC37-4027-AE99-0106744C3486}" name="P9" dataDxfId="566">
      <calculatedColumnFormula>IF($S4&gt;0,IF(AND(MONTH($P4)&lt;=BQ$1,MONTH($Q4)&gt;=BQ$1),1,0),0)</calculatedColumnFormula>
    </tableColumn>
    <tableColumn id="69" xr3:uid="{13F43FDA-25B4-4ABB-9B5A-714216FDB248}" name="P10" dataDxfId="565">
      <calculatedColumnFormula>IF($S4&gt;0,IF(AND(MONTH($P4)&lt;=BR$1,MONTH($Q4)&gt;=BR$1),1,0),0)</calculatedColumnFormula>
    </tableColumn>
    <tableColumn id="70" xr3:uid="{64F9AAC2-2D39-4BDF-8B89-95F4D94BB8C0}" name="P11" dataDxfId="564">
      <calculatedColumnFormula>IF($S4&gt;0,IF(AND(MONTH($P4)&lt;=BS$1,MONTH($Q4)&gt;=BS$1),1,0),0)</calculatedColumnFormula>
    </tableColumn>
    <tableColumn id="71" xr3:uid="{A4134195-5AC8-44FB-9E87-8E99E1F74739}" name="P12" dataDxfId="563">
      <calculatedColumnFormula>IF($S4&gt;0,IF(AND(MONTH($P4)&lt;=BT$1,MONTH($Q4)&gt;=BT$1),1,0),0)</calculatedColumnFormula>
    </tableColumn>
    <tableColumn id="72" xr3:uid="{36E3E86F-6A75-4D7C-8FB9-CA21753A347D}" name="Total" dataDxfId="562">
      <calculatedColumnFormula>SUM(tblSOW4[[#This Row],[P1]:[P12]])</calculatedColumnFormula>
    </tableColumn>
    <tableColumn id="73" xr3:uid="{8C5569FC-36CF-4519-ACCC-A6B7AABF28EF}" name="FTE Cost" dataDxfId="561">
      <calculatedColumnFormula>IFERROR(VLOOKUP(H4,[21]Parameters!CK:CN,3,0),0)</calculatedColumnFormula>
    </tableColumn>
    <tableColumn id="74" xr3:uid="{CA816AB9-3CA1-4BA3-8928-47FC4B75C808}" name="Task Cost" dataDxfId="560">
      <calculatedColumnFormula>IFERROR(VLOOKUP(K4,[21]Parameters!BN:BW,10,0),0)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DB5D69-16F7-4D22-BF33-38CF6DD9256E}" name="tblSOW3" displayName="tblSOW3" ref="A3:BW363" totalsRowShown="0" headerRowDxfId="712" dataDxfId="711">
  <autoFilter ref="A3:BW363" xr:uid="{00000000-0009-0000-0100-000001000000}"/>
  <tableColumns count="75">
    <tableColumn id="1" xr3:uid="{C369932E-EB09-4FFD-BDA4-0ACDC769FB17}" name="Budget Item" dataDxfId="710">
      <calculatedColumnFormula>CONCATENATE(INDEX([20]Parameters!$U$1:$V$20,MATCH(C4,[20]Parameters!$V$1:$V$20,0),1),"/",VLOOKUP(D4,[20]Parameters!$CG$1:$CH$12,2,0),".",E4,".",H4,".",LEFT(J4,3),"-",LEFT(#REF!,4))</calculatedColumnFormula>
    </tableColumn>
    <tableColumn id="2" xr3:uid="{EA5E1FB9-CF5C-4ED5-8357-A97338B40233}" name="Company" dataDxfId="709"/>
    <tableColumn id="3" xr3:uid="{60CF491A-C352-4CE2-B7A6-30DD0EB5CA1E}" name="Division" dataDxfId="708"/>
    <tableColumn id="4" xr3:uid="{043EB568-A05A-402E-B835-176CEBF2303A}" name="FinReport" dataDxfId="707" dataCellStyle="Neutral"/>
    <tableColumn id="5" xr3:uid="{293EB0A3-2AE2-4BE4-B0F5-4F8058F4594F}" name="Project Code" dataDxfId="706" dataCellStyle="Neutral">
      <calculatedColumnFormula>VLOOKUP(F4,[20]Parameters!P:T,4,0)</calculatedColumnFormula>
    </tableColumn>
    <tableColumn id="6" xr3:uid="{FA7A5471-5705-4DF6-A81D-8887EDB1AA17}" name="Project Name" dataDxfId="705"/>
    <tableColumn id="75" xr3:uid="{BF03A782-6CB0-40F1-90B8-9FA2F151B36B}" name="Activity" dataDxfId="704"/>
    <tableColumn id="14" xr3:uid="{E003F81D-CBD6-4478-8E22-49387978094D}" name="DepartmentNo." dataDxfId="703" dataCellStyle="Comma">
      <calculatedColumnFormula>INDEX([20]Parameters!$B:$C,MATCH(#REF!,[20]Parameters!$C:$C,0),1)</calculatedColumnFormula>
    </tableColumn>
    <tableColumn id="15" xr3:uid="{51792F8C-73F6-4CB7-8B07-5B21D13664D9}" name="Department" dataDxfId="702"/>
    <tableColumn id="17" xr3:uid="{F4DA0ADA-3899-4EF4-A259-6B38512A86A8}" name="Nominal" dataDxfId="701"/>
    <tableColumn id="18" xr3:uid="{7ECC90D5-8AD3-4348-8017-28F825914614}" name="Ending" dataDxfId="700"/>
    <tableColumn id="8" xr3:uid="{B5CC2DEB-E1F3-4F23-9BEE-6B329775A8B1}" name="Title" dataDxfId="699">
      <calculatedColumnFormula>IFERROR(VLOOKUP(tblSOW3[[#This Row],[Employee name ]],[20]Parameters!CP:CS,4,0),"")</calculatedColumnFormula>
    </tableColumn>
    <tableColumn id="9" xr3:uid="{724D8752-E07A-43C4-AC97-F166CE9407AB}" name="Employee name " dataDxfId="698"/>
    <tableColumn id="10" xr3:uid="{654FEA45-23D0-4A6F-8C93-C351203E53C7}" name="Comment - Division" dataDxfId="697"/>
    <tableColumn id="11" xr3:uid="{9A90C680-C105-4FFE-92CA-D35F8EFCFAD8}" name="Comment - CPB" dataDxfId="696"/>
    <tableColumn id="12" xr3:uid="{3AF6AAEA-3EB3-426B-93E1-54D9E5BAF6A2}" name="Start Timeframe" dataDxfId="695"/>
    <tableColumn id="13" xr3:uid="{F89B8803-D6CE-4F82-B708-C307DEABBDF1}" name="End Timeframe" dataDxfId="694"/>
    <tableColumn id="16" xr3:uid="{FF99F1FB-525C-4CEB-A2C7-749EDF0104C7}" name="Employee Name" dataDxfId="693"/>
    <tableColumn id="19" xr3:uid="{C156FE98-05DB-4034-8381-4FA4F834496C}" name="Duration" dataDxfId="692">
      <calculatedColumnFormula>IF(OR(P4="",Q4=""),0,MONTH(Q4)-MONTH(P4)+1)</calculatedColumnFormula>
    </tableColumn>
    <tableColumn id="20" xr3:uid="{20714C6C-0544-4B3E-AE28-FF37BD3B7735}" name="% work on project" dataDxfId="691"/>
    <tableColumn id="21" xr3:uid="{D665E8D2-6EA8-43C3-8733-CAD4E97ACEFB}" name="Task Units" dataDxfId="690"/>
    <tableColumn id="7" xr3:uid="{6546AD77-65C4-410F-8310-397A473CDA0D}" name="External Expenses/Revenues USD" dataDxfId="689"/>
    <tableColumn id="76" xr3:uid="{5EDE3996-1E09-4FE1-A5AF-8518452D81E3}" name="Control" dataDxfId="688">
      <calculatedColumnFormula>IF(AND(ISNUMBER(SEARCH("-T",tblSOW3[[#This Row],[Budget Item]])),NOT(ISNUMBER(tblSOW3[[#This Row],[Task Units]]))),"Please Enter Task Units",
IF(AND(ISNUMBER(SEARCH("-E000",tblSOW3[[#This Row],[Budget Item]])),NOT(ISNUMBER(tblSOW3[[#This Row],[% work on project]]))),"Please Enter Organic FTE",
IF(AND(ISNUMBER(SEARCH("-E999",tblSOW3[[#This Row],[Budget Item]])),NOT(ISNUMBER(tblSOW3[[#This Row],[External Expenses/Revenues USD]]))),"Please Enter External Expenses",
"")))</calculatedColumnFormula>
    </tableColumn>
    <tableColumn id="23" xr3:uid="{45E32564-3954-476F-8232-15F1ABB126DF}" name="Budget total cost" dataDxfId="687">
      <calculatedColumnFormula>SUM(tblSOW3[[#This Row],[Jan 2023 USD]:[Dec 2023 USD]])</calculatedColumnFormula>
    </tableColumn>
    <tableColumn id="24" xr3:uid="{4CFB1E2B-A7AB-4293-B060-3E1F458BE2AB}" name="Jan 2023 USD" dataDxfId="686">
      <calculatedColumnFormula>tblSOW3[[#This Row],[FTE Cost]]*tblSOW3[[#This Row],[% work on project]]*AK4/12+tblSOW3[[#This Row],[Task Cost]]*AW4+tblSOW3[[#This Row],[External Expenses/Revenues USD]]*BI4/tblSOW3[[#This Row],[Duration]]</calculatedColumnFormula>
    </tableColumn>
    <tableColumn id="25" xr3:uid="{B2A0D14C-BF7A-44E8-A766-DBBD3AD9E81C}" name="Feb 2023 USD" dataDxfId="685">
      <calculatedColumnFormula>tblSOW3[[#This Row],[FTE Cost]]*tblSOW3[[#This Row],[% work on project]]*AL4/12+tblSOW3[[#This Row],[Task Cost]]*AX4+tblSOW3[[#This Row],[External Expenses/Revenues USD]]*BJ4/tblSOW3[[#This Row],[Duration]]</calculatedColumnFormula>
    </tableColumn>
    <tableColumn id="26" xr3:uid="{AEC06142-9669-463F-90BD-750E0943E066}" name="Mar 2023 USD" dataDxfId="684">
      <calculatedColumnFormula>tblSOW3[[#This Row],[FTE Cost]]*tblSOW3[[#This Row],[% work on project]]*AM4/12+tblSOW3[[#This Row],[Task Cost]]*AY4+tblSOW3[[#This Row],[External Expenses/Revenues USD]]*BK4/tblSOW3[[#This Row],[Duration]]</calculatedColumnFormula>
    </tableColumn>
    <tableColumn id="27" xr3:uid="{2AF50407-72A0-4375-9508-6A37BBB04088}" name="Apr 2023 USD" dataDxfId="683">
      <calculatedColumnFormula>tblSOW3[[#This Row],[FTE Cost]]*tblSOW3[[#This Row],[% work on project]]*AN4/12+tblSOW3[[#This Row],[Task Cost]]*AZ4+tblSOW3[[#This Row],[External Expenses/Revenues USD]]*BL4/tblSOW3[[#This Row],[Duration]]</calculatedColumnFormula>
    </tableColumn>
    <tableColumn id="28" xr3:uid="{C0515C1E-5A2F-4129-94F7-DB9D4B33AFA9}" name="May 2023 USD" dataDxfId="682">
      <calculatedColumnFormula>tblSOW3[[#This Row],[FTE Cost]]*tblSOW3[[#This Row],[% work on project]]*AO4/12+tblSOW3[[#This Row],[Task Cost]]*BA4+tblSOW3[[#This Row],[External Expenses/Revenues USD]]*BM4/tblSOW3[[#This Row],[Duration]]</calculatedColumnFormula>
    </tableColumn>
    <tableColumn id="29" xr3:uid="{7846F8F0-0584-4294-92D2-99597D2956D7}" name="Jun 2023 USD" dataDxfId="681">
      <calculatedColumnFormula>tblSOW3[[#This Row],[FTE Cost]]*tblSOW3[[#This Row],[% work on project]]*AP4/12+tblSOW3[[#This Row],[Task Cost]]*BB4+tblSOW3[[#This Row],[External Expenses/Revenues USD]]*BN4/tblSOW3[[#This Row],[Duration]]</calculatedColumnFormula>
    </tableColumn>
    <tableColumn id="30" xr3:uid="{5ACEED24-7A58-419E-9617-3A024FBC0F83}" name="Jul 2023 USD" dataDxfId="680">
      <calculatedColumnFormula>tblSOW3[[#This Row],[FTE Cost]]*tblSOW3[[#This Row],[% work on project]]*AQ4/12+tblSOW3[[#This Row],[Task Cost]]*BC4+tblSOW3[[#This Row],[External Expenses/Revenues USD]]*BO4/tblSOW3[[#This Row],[Duration]]</calculatedColumnFormula>
    </tableColumn>
    <tableColumn id="31" xr3:uid="{05006D2D-59D9-4838-8FD7-322EB58272EF}" name="Aug 2023 USD" dataDxfId="679">
      <calculatedColumnFormula>tblSOW3[[#This Row],[FTE Cost]]*tblSOW3[[#This Row],[% work on project]]*AR4/12+tblSOW3[[#This Row],[Task Cost]]*BD4+tblSOW3[[#This Row],[External Expenses/Revenues USD]]*BP4/tblSOW3[[#This Row],[Duration]]</calculatedColumnFormula>
    </tableColumn>
    <tableColumn id="32" xr3:uid="{CAE0FC40-BD0C-4F72-A341-329EDA3E9497}" name="Sep 2023 USD" dataDxfId="678">
      <calculatedColumnFormula>tblSOW3[[#This Row],[FTE Cost]]*tblSOW3[[#This Row],[% work on project]]*AS4/12+tblSOW3[[#This Row],[Task Cost]]*BE4+tblSOW3[[#This Row],[External Expenses/Revenues USD]]*BQ4/tblSOW3[[#This Row],[Duration]]</calculatedColumnFormula>
    </tableColumn>
    <tableColumn id="33" xr3:uid="{22949DA0-B55D-407C-8248-BBE14F601B1A}" name="Oct 2023 USD" dataDxfId="677">
      <calculatedColumnFormula>tblSOW3[[#This Row],[FTE Cost]]*tblSOW3[[#This Row],[% work on project]]*AT4/12+tblSOW3[[#This Row],[Task Cost]]*BF4+tblSOW3[[#This Row],[External Expenses/Revenues USD]]*BR4/tblSOW3[[#This Row],[Duration]]</calculatedColumnFormula>
    </tableColumn>
    <tableColumn id="34" xr3:uid="{88215F81-7FC7-4FE2-BC23-7824C9B9116C}" name="Nov 2023 USD" dataDxfId="676">
      <calculatedColumnFormula>tblSOW3[[#This Row],[FTE Cost]]*tblSOW3[[#This Row],[% work on project]]*AU4/12+tblSOW3[[#This Row],[Task Cost]]*BG4+tblSOW3[[#This Row],[External Expenses/Revenues USD]]*BS4/tblSOW3[[#This Row],[Duration]]</calculatedColumnFormula>
    </tableColumn>
    <tableColumn id="35" xr3:uid="{60115AE4-88B3-428C-AE99-CE308DF41E44}" name="Dec 2023 USD" dataDxfId="675">
      <calculatedColumnFormula>tblSOW3[[#This Row],[FTE Cost]]*tblSOW3[[#This Row],[% work on project]]*AV4/12+tblSOW3[[#This Row],[Task Cost]]*BH4+tblSOW3[[#This Row],[External Expenses/Revenues USD]]*BT4/tblSOW3[[#This Row],[Duration]]</calculatedColumnFormula>
    </tableColumn>
    <tableColumn id="36" xr3:uid="{90C6554C-3B04-45AF-8408-C20E289323EA}" name="Jan 2023 FTE" dataDxfId="674">
      <calculatedColumnFormula>$S4/$BU4*BI4</calculatedColumnFormula>
    </tableColumn>
    <tableColumn id="37" xr3:uid="{7F6D539A-64D8-4765-9EE1-76832F06D9D4}" name="Feb 2023 FTE" dataDxfId="673">
      <calculatedColumnFormula>$S4/$BU4*BJ4</calculatedColumnFormula>
    </tableColumn>
    <tableColumn id="38" xr3:uid="{A7F1569C-9C59-45BA-BE8C-8E104049AB21}" name="Mar 2023 FTE" dataDxfId="672">
      <calculatedColumnFormula>$S4/$BU4*BK4</calculatedColumnFormula>
    </tableColumn>
    <tableColumn id="39" xr3:uid="{5B9EE28D-F8A9-4C86-946C-96E9FF450675}" name="Apr 2023 FTE" dataDxfId="671">
      <calculatedColumnFormula>$S4/$BU4*BL4</calculatedColumnFormula>
    </tableColumn>
    <tableColumn id="40" xr3:uid="{04346006-0835-4FE8-A61B-BC0E1E83C138}" name="May 2023 FTE" dataDxfId="670">
      <calculatedColumnFormula>$S4/$BU4*BM4</calculatedColumnFormula>
    </tableColumn>
    <tableColumn id="41" xr3:uid="{AB54A588-7D81-4241-BDEC-E3397BBC0769}" name="Jun 2023 FTE" dataDxfId="669">
      <calculatedColumnFormula>$S4/$BU4*BN4</calculatedColumnFormula>
    </tableColumn>
    <tableColumn id="42" xr3:uid="{743BB395-FC69-4414-AD91-979EF13C2EDF}" name="Jul 2023 FTE" dataDxfId="668">
      <calculatedColumnFormula>$S4/$BU4*BO4</calculatedColumnFormula>
    </tableColumn>
    <tableColumn id="43" xr3:uid="{37E681EA-8B22-47CD-80D2-2DE6D7678331}" name="Aug 2023 FTE" dataDxfId="667">
      <calculatedColumnFormula>$S4/$BU4*BP4</calculatedColumnFormula>
    </tableColumn>
    <tableColumn id="44" xr3:uid="{7E8B80C3-EC19-46ED-9E34-126C04D5DFD9}" name="Sep 2023 FTE" dataDxfId="666">
      <calculatedColumnFormula>$S4/$BU4*BQ4</calculatedColumnFormula>
    </tableColumn>
    <tableColumn id="45" xr3:uid="{05B4044D-0E13-4594-9CD3-14C3E68F6C6E}" name="Oct 2023 FTE" dataDxfId="665">
      <calculatedColumnFormula>$S4/$BU4*BR4</calculatedColumnFormula>
    </tableColumn>
    <tableColumn id="46" xr3:uid="{A10609FB-B9C1-41C5-A678-5C4742D6C73A}" name="Nov 2023 FTE" dataDxfId="664">
      <calculatedColumnFormula>$S4/$BU4*BS4</calculatedColumnFormula>
    </tableColumn>
    <tableColumn id="47" xr3:uid="{7FD8D551-253B-4410-A3C6-A76DAB3F6B9B}" name="Dec 2023 FTE" dataDxfId="663">
      <calculatedColumnFormula>$S4/$BU4*BT4</calculatedColumnFormula>
    </tableColumn>
    <tableColumn id="48" xr3:uid="{0C8F75AA-475F-4894-929B-C651E5E01881}" name="Jan 2023 Units" dataDxfId="662">
      <calculatedColumnFormula>$U4/$BU4*BI4</calculatedColumnFormula>
    </tableColumn>
    <tableColumn id="49" xr3:uid="{6DDECE38-3CB6-434A-9975-73EE96E88FBC}" name="Feb 2023 Units" dataDxfId="661">
      <calculatedColumnFormula>$U4/$BU4*BJ4</calculatedColumnFormula>
    </tableColumn>
    <tableColumn id="50" xr3:uid="{59CF987B-72FD-43CC-940A-84D9DB61A501}" name="Mar 2023 Units" dataDxfId="660">
      <calculatedColumnFormula>$U4/$BU4*BK4</calculatedColumnFormula>
    </tableColumn>
    <tableColumn id="51" xr3:uid="{582B9B5A-C0C0-472B-89EF-6B30CA23F3A4}" name="Apr 2023 Units" dataDxfId="659">
      <calculatedColumnFormula>$U4/$BU4*BL4</calculatedColumnFormula>
    </tableColumn>
    <tableColumn id="52" xr3:uid="{30D4C622-A9B7-4CF4-A469-11ABCF7B12B3}" name="May 2023 Units" dataDxfId="658">
      <calculatedColumnFormula>$U4/$BU4*BM4</calculatedColumnFormula>
    </tableColumn>
    <tableColumn id="53" xr3:uid="{D3AC54FB-01D3-4876-B359-DC47F6A29006}" name="Jun 2023 Units" dataDxfId="657">
      <calculatedColumnFormula>$U4/$BU4*BN4</calculatedColumnFormula>
    </tableColumn>
    <tableColumn id="54" xr3:uid="{CF628837-B8EA-406A-80F5-B8DABCE2CF8F}" name="Jul 2023 Units" dataDxfId="656">
      <calculatedColumnFormula>$U4/$BU4*BO4</calculatedColumnFormula>
    </tableColumn>
    <tableColumn id="55" xr3:uid="{C323705D-1865-4968-AEBE-124FBB452BCF}" name="Aug 2023 Units" dataDxfId="655">
      <calculatedColumnFormula>$U4/$BU4*BP4</calculatedColumnFormula>
    </tableColumn>
    <tableColumn id="56" xr3:uid="{DCEC5513-72C5-433C-8C36-706531DED51B}" name="Sep 2023 Units" dataDxfId="654">
      <calculatedColumnFormula>$U4/$BU4*BQ4</calculatedColumnFormula>
    </tableColumn>
    <tableColumn id="57" xr3:uid="{FBA6867D-DC70-45F6-BC73-5895B1CEB3DC}" name="Oct 2023 Units" dataDxfId="653">
      <calculatedColumnFormula>$U4/$BU4*BR4</calculatedColumnFormula>
    </tableColumn>
    <tableColumn id="58" xr3:uid="{6904E719-1F09-4663-9163-63C3B26E9460}" name="Nov 2023 Units" dataDxfId="652">
      <calculatedColumnFormula>$U4/$BU4*BS4</calculatedColumnFormula>
    </tableColumn>
    <tableColumn id="59" xr3:uid="{ABD1F00A-F800-4FDC-9B87-5B504956911C}" name="Dec 2023 Units" dataDxfId="651">
      <calculatedColumnFormula>$U4/$BU4*BT4</calculatedColumnFormula>
    </tableColumn>
    <tableColumn id="60" xr3:uid="{F33C6586-09D0-4B2F-A8B5-486E1020D633}" name="P1" dataDxfId="650">
      <calculatedColumnFormula>IF($S4&gt;0,IF(AND(MONTH($P4)&lt;=BI$1,MONTH($Q4)&gt;=BI$1),1,0),0)</calculatedColumnFormula>
    </tableColumn>
    <tableColumn id="61" xr3:uid="{A3F34E24-D8B3-4E56-AFEC-31BF4CA55DEF}" name="P2" dataDxfId="649">
      <calculatedColumnFormula>IF($S4&gt;0,IF(AND(MONTH($P4)&lt;=BJ$1,MONTH($Q4)&gt;=BJ$1),1,0),0)</calculatedColumnFormula>
    </tableColumn>
    <tableColumn id="62" xr3:uid="{3A472236-ABA0-4FE2-ABF7-29A60361FACA}" name="P3" dataDxfId="648">
      <calculatedColumnFormula>IF($S4&gt;0,IF(AND(MONTH($P4)&lt;=BK$1,MONTH($Q4)&gt;=BK$1),1,0),0)</calculatedColumnFormula>
    </tableColumn>
    <tableColumn id="63" xr3:uid="{800A3E78-23A2-4C19-BB6C-0A18DB2BC9FA}" name="P4" dataDxfId="647">
      <calculatedColumnFormula>IF($S4&gt;0,IF(AND(MONTH($P4)&lt;=BL$1,MONTH($Q4)&gt;=BL$1),1,0),0)</calculatedColumnFormula>
    </tableColumn>
    <tableColumn id="64" xr3:uid="{8FB4829E-0923-4D58-94F8-00609B360E47}" name="P5" dataDxfId="646">
      <calculatedColumnFormula>IF($S4&gt;0,IF(AND(MONTH($P4)&lt;=BM$1,MONTH($Q4)&gt;=BM$1),1,0),0)</calculatedColumnFormula>
    </tableColumn>
    <tableColumn id="65" xr3:uid="{2AE8912F-C8CC-49B6-B9CC-4CD3A790AD4B}" name="P6" dataDxfId="645">
      <calculatedColumnFormula>IF($S4&gt;0,IF(AND(MONTH($P4)&lt;=BN$1,MONTH($Q4)&gt;=BN$1),1,0),0)</calculatedColumnFormula>
    </tableColumn>
    <tableColumn id="66" xr3:uid="{33E298DF-D945-433F-8C67-A0AA393DAF7D}" name="P7" dataDxfId="644">
      <calculatedColumnFormula>IF($S4&gt;0,IF(AND(MONTH($P4)&lt;=BO$1,MONTH($Q4)&gt;=BO$1),1,0),0)</calculatedColumnFormula>
    </tableColumn>
    <tableColumn id="67" xr3:uid="{B9859408-38DB-4135-9FC6-0D068068331B}" name="P8" dataDxfId="643">
      <calculatedColumnFormula>IF($S4&gt;0,IF(AND(MONTH($P4)&lt;=BP$1,MONTH($Q4)&gt;=BP$1),1,0),0)</calculatedColumnFormula>
    </tableColumn>
    <tableColumn id="68" xr3:uid="{B2452787-FDCB-45B4-B701-BB0631B5CC10}" name="P9" dataDxfId="642">
      <calculatedColumnFormula>IF($S4&gt;0,IF(AND(MONTH($P4)&lt;=BQ$1,MONTH($Q4)&gt;=BQ$1),1,0),0)</calculatedColumnFormula>
    </tableColumn>
    <tableColumn id="69" xr3:uid="{47129F6A-375C-44F0-B9AF-8A617032BE94}" name="P10" dataDxfId="641">
      <calculatedColumnFormula>IF($S4&gt;0,IF(AND(MONTH($P4)&lt;=BR$1,MONTH($Q4)&gt;=BR$1),1,0),0)</calculatedColumnFormula>
    </tableColumn>
    <tableColumn id="70" xr3:uid="{92D7E1FF-D0B6-4A18-9305-46C0A29745C5}" name="P11" dataDxfId="640">
      <calculatedColumnFormula>IF($S4&gt;0,IF(AND(MONTH($P4)&lt;=BS$1,MONTH($Q4)&gt;=BS$1),1,0),0)</calculatedColumnFormula>
    </tableColumn>
    <tableColumn id="71" xr3:uid="{9EB34DB1-DB1A-4BD4-9906-85D45C989381}" name="P12" dataDxfId="639">
      <calculatedColumnFormula>IF($S4&gt;0,IF(AND(MONTH($P4)&lt;=BT$1,MONTH($Q4)&gt;=BT$1),1,0),0)</calculatedColumnFormula>
    </tableColumn>
    <tableColumn id="72" xr3:uid="{AF048BA2-579A-4DD9-ACB1-0F21D5753DAE}" name="Total" dataDxfId="638">
      <calculatedColumnFormula>SUM(tblSOW3[[#This Row],[P1]:[P12]])</calculatedColumnFormula>
    </tableColumn>
    <tableColumn id="73" xr3:uid="{DA52E0E6-E435-4CE7-BCE8-5CAD43661A81}" name="FTE Cost" dataDxfId="637">
      <calculatedColumnFormula>IFERROR(VLOOKUP(H4,[20]Parameters!CK:CN,3,0),0)</calculatedColumnFormula>
    </tableColumn>
    <tableColumn id="74" xr3:uid="{25FC09A5-F23B-4516-8801-D7E41C4B6179}" name="Task Cost" dataDxfId="636">
      <calculatedColumnFormula>IFERROR(VLOOKUP(#REF!,[20]Parameters!BN:BW,10,0),0)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5A7326-93EE-41BD-8557-C9FC10893D09}" name="tblSOW" displayName="tblSOW" ref="A3:BW9" totalsRowShown="0" headerRowDxfId="864" dataDxfId="713">
  <autoFilter ref="A3:BW9" xr:uid="{00000000-0009-0000-0100-000001000000}"/>
  <tableColumns count="75">
    <tableColumn id="1" xr3:uid="{2E19FB25-84A8-407C-AA99-8B98323A0BB2}" name="Budget Item" dataDxfId="788" totalsRowDxfId="863">
      <calculatedColumnFormula>CONCATENATE(INDEX([1]Parameters!$U$1:$V$20,MATCH(C4,[1]Parameters!$V$1:$V$20,0),1),"/",VLOOKUP(D4,[1]Parameters!$CG$1:$CH$12,2,0),".",E4,".",H4,".",LEFT(J4,3),"-",LEFT(K4,4))</calculatedColumnFormula>
    </tableColumn>
    <tableColumn id="2" xr3:uid="{F339217C-ADBF-4A4E-9758-2401041872E6}" name="Company" dataDxfId="787" totalsRowDxfId="862"/>
    <tableColumn id="3" xr3:uid="{188035E4-60BB-4C19-A578-D45DE1B0BA84}" name="Division" dataDxfId="786" totalsRowDxfId="861"/>
    <tableColumn id="4" xr3:uid="{F8A9E5C7-7AF4-4F5D-B76D-130EEF477747}" name="FinReport" dataDxfId="785" totalsRowDxfId="860" dataCellStyle="Neutral" totalsRowCellStyle="Neutral"/>
    <tableColumn id="5" xr3:uid="{759249E0-F2C7-4FBF-A92D-492AE0BB1289}" name="Project Code" dataDxfId="784" totalsRowDxfId="859" dataCellStyle="Neutral" totalsRowCellStyle="Neutral">
      <calculatedColumnFormula>VLOOKUP(F4,[1]Parameters!P:T,4,0)</calculatedColumnFormula>
    </tableColumn>
    <tableColumn id="6" xr3:uid="{0B25173A-7D31-451F-9E82-F25B11C70153}" name="Project Name" dataDxfId="783" totalsRowDxfId="858"/>
    <tableColumn id="75" xr3:uid="{3AD308C7-F37A-48BB-BF2B-32865A43DB6E}" name="Activity" dataDxfId="782" totalsRowDxfId="857"/>
    <tableColumn id="14" xr3:uid="{07DF27A7-FF75-40F7-9574-D605217BCD1A}" name="DepartmentNo." dataDxfId="781" totalsRowDxfId="856" dataCellStyle="Comma" totalsRowCellStyle="Comma">
      <calculatedColumnFormula>INDEX([1]Parameters!$B:$C,MATCH(I4,[1]Parameters!$C:$C,0),1)</calculatedColumnFormula>
    </tableColumn>
    <tableColumn id="15" xr3:uid="{F3B66C89-D781-4B87-8824-C0EBB607C19C}" name="Department" dataDxfId="780" totalsRowDxfId="855"/>
    <tableColumn id="17" xr3:uid="{85B8529D-3354-4E95-8D27-DC44AFC5049C}" name="Nominal" dataDxfId="779" totalsRowDxfId="854"/>
    <tableColumn id="18" xr3:uid="{FDA478B4-0374-4B7B-A80E-BBB1664B0EBF}" name="Ending" dataDxfId="778" totalsRowDxfId="853"/>
    <tableColumn id="8" xr3:uid="{E440B149-7A80-4063-B93A-6B0F776A944F}" name="Title" dataDxfId="777" totalsRowDxfId="852">
      <calculatedColumnFormula>IFERROR(VLOOKUP(tblSOW[[#This Row],[Employee name ]],[1]Parameters!CP:CS,4,0),"")</calculatedColumnFormula>
    </tableColumn>
    <tableColumn id="9" xr3:uid="{1D303122-7ECE-4D1C-99D4-59C592BBCA4F}" name="Employee name " dataDxfId="776" totalsRowDxfId="851"/>
    <tableColumn id="10" xr3:uid="{C67EFA46-884F-4CA5-9E6F-E2D31A0B0C9E}" name="Comment - Division" dataDxfId="775" totalsRowDxfId="850"/>
    <tableColumn id="11" xr3:uid="{333CCD6C-E0AA-4F6C-B609-1D289DCE6B29}" name="Comment - CPB" dataDxfId="774" totalsRowDxfId="849"/>
    <tableColumn id="12" xr3:uid="{F6A91AF1-038F-48C3-B340-573CFD21BF25}" name="Start Timeframe" dataDxfId="773" totalsRowDxfId="848"/>
    <tableColumn id="13" xr3:uid="{6E09F0ED-39DB-49A4-AB7A-0A066D5E3B51}" name="End Timeframe" dataDxfId="772" totalsRowDxfId="847"/>
    <tableColumn id="16" xr3:uid="{74A3C535-4082-4FF1-BE20-53B6A0D37C75}" name="Employee Name" dataDxfId="771" totalsRowDxfId="846"/>
    <tableColumn id="19" xr3:uid="{D3CE7AC1-090A-49EE-B429-AAA054DC09BB}" name="Duration" dataDxfId="770" totalsRowDxfId="845">
      <calculatedColumnFormula>IF(OR(P4="",Q4=""),0,MONTH(Q4)-MONTH(P4)+1)</calculatedColumnFormula>
    </tableColumn>
    <tableColumn id="20" xr3:uid="{8B479697-4BE3-4834-BA40-853F5922A20C}" name="% work on project" dataDxfId="769" totalsRowDxfId="844"/>
    <tableColumn id="21" xr3:uid="{26A7D76C-4A34-4CAA-B6FD-7FBE4E3DB47B}" name="Task Units" dataDxfId="768" totalsRowDxfId="843"/>
    <tableColumn id="7" xr3:uid="{9ADCFEF0-CF9A-49F8-84D6-BC1B1F5EE63B}" name="External Expenses/Revenues USD" dataDxfId="767" totalsRowDxfId="842"/>
    <tableColumn id="76" xr3:uid="{30217059-D281-480A-B913-00B807D2B493}" name="Control" dataDxfId="766" totalsRowDxfId="841">
      <calculatedColumnFormula>IF(AND(ISNUMBER(SEARCH("-T",tblSOW[[#This Row],[Budget Item]])),NOT(ISNUMBER(tblSOW[[#This Row],[Task Units]]))),"Please Enter Task Units",
IF(AND(ISNUMBER(SEARCH("-E000",tblSOW[[#This Row],[Budget Item]])),NOT(ISNUMBER(tblSOW[[#This Row],[% work on project]]))),"Please Enter Organic FTE",
IF(AND(ISNUMBER(SEARCH("-E999",tblSOW[[#This Row],[Budget Item]])),NOT(ISNUMBER(tblSOW[[#This Row],[External Expenses/Revenues USD]]))),"Please Enter External Expenses",
"")))</calculatedColumnFormula>
    </tableColumn>
    <tableColumn id="23" xr3:uid="{7D38D003-0809-401E-9391-0F7119FCD132}" name="Budget total cost" dataDxfId="765" totalsRowDxfId="840" dataCellStyle="Comma">
      <calculatedColumnFormula>SUM(tblSOW[[#This Row],[Jan 2023 USD]:[Dec 2023 USD]])</calculatedColumnFormula>
    </tableColumn>
    <tableColumn id="24" xr3:uid="{FD63216D-9A0D-4EEC-89D2-328B1E73C943}" name="Jan 2023 USD" dataDxfId="764" totalsRowDxfId="839">
      <calculatedColumnFormula>tblSOW[[#This Row],[FTE Cost]]*tblSOW[[#This Row],[% work on project]]*AK4/12+tblSOW[[#This Row],[Task Cost]]*AW4+tblSOW[[#This Row],[External Expenses/Revenues USD]]*BI4/tblSOW[[#This Row],[Duration]]</calculatedColumnFormula>
    </tableColumn>
    <tableColumn id="25" xr3:uid="{E1CB032E-2F83-4572-8315-2869DCCE3177}" name="Feb 2023 USD" dataDxfId="763" totalsRowDxfId="838">
      <calculatedColumnFormula>tblSOW[[#This Row],[FTE Cost]]*tblSOW[[#This Row],[% work on project]]*AL4/12+tblSOW[[#This Row],[Task Cost]]*AX4+tblSOW[[#This Row],[External Expenses/Revenues USD]]*BJ4/tblSOW[[#This Row],[Duration]]</calculatedColumnFormula>
    </tableColumn>
    <tableColumn id="26" xr3:uid="{61A125F8-1441-4F96-9A52-493E57DDFCFB}" name="Mar 2023 USD" dataDxfId="762" totalsRowDxfId="837">
      <calculatedColumnFormula>tblSOW[[#This Row],[FTE Cost]]*tblSOW[[#This Row],[% work on project]]*AM4/12+tblSOW[[#This Row],[Task Cost]]*AY4+tblSOW[[#This Row],[External Expenses/Revenues USD]]*BK4/tblSOW[[#This Row],[Duration]]</calculatedColumnFormula>
    </tableColumn>
    <tableColumn id="27" xr3:uid="{1BBA4F92-021A-48C2-B733-F153B1890DCC}" name="Apr 2023 USD" dataDxfId="761" totalsRowDxfId="836">
      <calculatedColumnFormula>tblSOW[[#This Row],[FTE Cost]]*tblSOW[[#This Row],[% work on project]]*AN4/12+tblSOW[[#This Row],[Task Cost]]*AZ4+tblSOW[[#This Row],[External Expenses/Revenues USD]]*BL4/tblSOW[[#This Row],[Duration]]</calculatedColumnFormula>
    </tableColumn>
    <tableColumn id="28" xr3:uid="{67F8C5CD-BDA2-4A45-9D76-216F8FB14215}" name="May 2023 USD" dataDxfId="760" totalsRowDxfId="835">
      <calculatedColumnFormula>tblSOW[[#This Row],[FTE Cost]]*tblSOW[[#This Row],[% work on project]]*AO4/12+tblSOW[[#This Row],[Task Cost]]*BA4+tblSOW[[#This Row],[External Expenses/Revenues USD]]*BM4/tblSOW[[#This Row],[Duration]]</calculatedColumnFormula>
    </tableColumn>
    <tableColumn id="29" xr3:uid="{B1148587-96D2-480A-879B-527A837DFA5A}" name="Jun 2023 USD" dataDxfId="759" totalsRowDxfId="834">
      <calculatedColumnFormula>tblSOW[[#This Row],[FTE Cost]]*tblSOW[[#This Row],[% work on project]]*AP4/12+tblSOW[[#This Row],[Task Cost]]*BB4+tblSOW[[#This Row],[External Expenses/Revenues USD]]*BN4/tblSOW[[#This Row],[Duration]]</calculatedColumnFormula>
    </tableColumn>
    <tableColumn id="30" xr3:uid="{78F4C263-91E7-45D2-9627-4267E2F4DB38}" name="Jul 2023 USD" dataDxfId="758" totalsRowDxfId="833">
      <calculatedColumnFormula>tblSOW[[#This Row],[FTE Cost]]*tblSOW[[#This Row],[% work on project]]*AQ4/12+tblSOW[[#This Row],[Task Cost]]*BC4+tblSOW[[#This Row],[External Expenses/Revenues USD]]*BO4/tblSOW[[#This Row],[Duration]]</calculatedColumnFormula>
    </tableColumn>
    <tableColumn id="31" xr3:uid="{94F879B4-BAFC-467B-8A8B-3F4BD05EA506}" name="Aug 2023 USD" dataDxfId="757" totalsRowDxfId="832">
      <calculatedColumnFormula>tblSOW[[#This Row],[FTE Cost]]*tblSOW[[#This Row],[% work on project]]*AR4/12+tblSOW[[#This Row],[Task Cost]]*BD4+tblSOW[[#This Row],[External Expenses/Revenues USD]]*BP4/tblSOW[[#This Row],[Duration]]</calculatedColumnFormula>
    </tableColumn>
    <tableColumn id="32" xr3:uid="{17A5FD28-426C-404A-A9B5-393C81D8DA14}" name="Sep 2023 USD" dataDxfId="756" totalsRowDxfId="831">
      <calculatedColumnFormula>tblSOW[[#This Row],[FTE Cost]]*tblSOW[[#This Row],[% work on project]]*AS4/12+tblSOW[[#This Row],[Task Cost]]*BE4+tblSOW[[#This Row],[External Expenses/Revenues USD]]*BQ4/tblSOW[[#This Row],[Duration]]</calculatedColumnFormula>
    </tableColumn>
    <tableColumn id="33" xr3:uid="{234C5920-E664-43A6-BB46-7769624EA88D}" name="Oct 2023 USD" dataDxfId="755" totalsRowDxfId="830">
      <calculatedColumnFormula>tblSOW[[#This Row],[FTE Cost]]*tblSOW[[#This Row],[% work on project]]*AT4/12+tblSOW[[#This Row],[Task Cost]]*BF4+tblSOW[[#This Row],[External Expenses/Revenues USD]]*BR4/tblSOW[[#This Row],[Duration]]</calculatedColumnFormula>
    </tableColumn>
    <tableColumn id="34" xr3:uid="{C5DFACFB-EBC4-41A0-A8CB-D0684A69AA74}" name="Nov 2023 USD" dataDxfId="754" totalsRowDxfId="829">
      <calculatedColumnFormula>tblSOW[[#This Row],[FTE Cost]]*tblSOW[[#This Row],[% work on project]]*AU4/12+tblSOW[[#This Row],[Task Cost]]*BG4+tblSOW[[#This Row],[External Expenses/Revenues USD]]*BS4/tblSOW[[#This Row],[Duration]]</calculatedColumnFormula>
    </tableColumn>
    <tableColumn id="35" xr3:uid="{3EE3860B-7EDA-4BB1-845F-E17C5147F7BF}" name="Dec 2023 USD" dataDxfId="753" totalsRowDxfId="828">
      <calculatedColumnFormula>tblSOW[[#This Row],[FTE Cost]]*tblSOW[[#This Row],[% work on project]]*AV4/12+tblSOW[[#This Row],[Task Cost]]*BH4+tblSOW[[#This Row],[External Expenses/Revenues USD]]*BT4/tblSOW[[#This Row],[Duration]]</calculatedColumnFormula>
    </tableColumn>
    <tableColumn id="36" xr3:uid="{0418BF1E-6FB1-40EF-BC83-61D57AF12ECC}" name="Jan 2023 FTE" dataDxfId="752" totalsRowDxfId="827">
      <calculatedColumnFormula>$S4/$BU4*BI4</calculatedColumnFormula>
    </tableColumn>
    <tableColumn id="37" xr3:uid="{461ABFEE-EF8C-4699-A1B0-5B99ED15A195}" name="Feb 2023 FTE" dataDxfId="751" totalsRowDxfId="826">
      <calculatedColumnFormula>$S4/$BU4*BJ4</calculatedColumnFormula>
    </tableColumn>
    <tableColumn id="38" xr3:uid="{406418FC-10DC-4D19-A384-ADD43AAADA74}" name="Mar 2023 FTE" dataDxfId="750" totalsRowDxfId="825">
      <calculatedColumnFormula>$S4/$BU4*BK4</calculatedColumnFormula>
    </tableColumn>
    <tableColumn id="39" xr3:uid="{E524D229-E8EF-48A3-A8EF-0F4D3775F451}" name="Apr 2023 FTE" dataDxfId="749" totalsRowDxfId="824">
      <calculatedColumnFormula>$S4/$BU4*BL4</calculatedColumnFormula>
    </tableColumn>
    <tableColumn id="40" xr3:uid="{47286487-0496-4A19-82D8-4CAAD80D84A3}" name="May 2023 FTE" dataDxfId="748" totalsRowDxfId="823">
      <calculatedColumnFormula>$S4/$BU4*BM4</calculatedColumnFormula>
    </tableColumn>
    <tableColumn id="41" xr3:uid="{CC1192DC-8C0D-497B-ABB7-933486D9F52A}" name="Jun 2023 FTE" dataDxfId="747" totalsRowDxfId="822">
      <calculatedColumnFormula>$S4/$BU4*BN4</calculatedColumnFormula>
    </tableColumn>
    <tableColumn id="42" xr3:uid="{A96A34DF-6EBF-4C5C-A1FE-5ACDB7B58F5D}" name="Jul 2023 FTE" dataDxfId="746" totalsRowDxfId="821">
      <calculatedColumnFormula>$S4/$BU4*BO4</calculatedColumnFormula>
    </tableColumn>
    <tableColumn id="43" xr3:uid="{229F7AEF-85E6-4185-92F0-01FEE9B56F5B}" name="Aug 2023 FTE" dataDxfId="745" totalsRowDxfId="820">
      <calculatedColumnFormula>$S4/$BU4*BP4</calculatedColumnFormula>
    </tableColumn>
    <tableColumn id="44" xr3:uid="{A83C33A1-8BEC-4086-8207-D8AF96B72F7D}" name="Sep 2023 FTE" dataDxfId="744" totalsRowDxfId="819">
      <calculatedColumnFormula>$S4/$BU4*BQ4</calculatedColumnFormula>
    </tableColumn>
    <tableColumn id="45" xr3:uid="{E61D8781-0758-4A81-AA76-9AA3962E60FC}" name="Oct 2023 FTE" dataDxfId="743" totalsRowDxfId="818">
      <calculatedColumnFormula>$S4/$BU4*BR4</calculatedColumnFormula>
    </tableColumn>
    <tableColumn id="46" xr3:uid="{4775DB6E-AF4C-48FF-87DF-B92E54975050}" name="Nov 2023 FTE" dataDxfId="742" totalsRowDxfId="817">
      <calculatedColumnFormula>$S4/$BU4*BS4</calculatedColumnFormula>
    </tableColumn>
    <tableColumn id="47" xr3:uid="{1604AE59-BB2B-45ED-956A-F8FDC4E3001F}" name="Dec 2023 FTE" dataDxfId="741" totalsRowDxfId="816">
      <calculatedColumnFormula>$S4/$BU4*BT4</calculatedColumnFormula>
    </tableColumn>
    <tableColumn id="48" xr3:uid="{9057BAD1-19F7-4B44-81A8-54E9BD5E4700}" name="Jan 2023 Units" dataDxfId="740" totalsRowDxfId="815">
      <calculatedColumnFormula>$U4/$BU4*BI4</calculatedColumnFormula>
    </tableColumn>
    <tableColumn id="49" xr3:uid="{B6F73DCF-CCBB-4D54-B106-569949C60CD7}" name="Feb 2023 Units" dataDxfId="739" totalsRowDxfId="814">
      <calculatedColumnFormula>$U4/$BU4*BJ4</calculatedColumnFormula>
    </tableColumn>
    <tableColumn id="50" xr3:uid="{73628479-CED9-4893-8824-376C3F1903E9}" name="Mar 2023 Units" dataDxfId="738" totalsRowDxfId="813">
      <calculatedColumnFormula>$U4/$BU4*BK4</calculatedColumnFormula>
    </tableColumn>
    <tableColumn id="51" xr3:uid="{B4A83395-306D-4212-A082-BEABD8466726}" name="Apr 2023 Units" dataDxfId="737" totalsRowDxfId="812">
      <calculatedColumnFormula>$U4/$BU4*BL4</calculatedColumnFormula>
    </tableColumn>
    <tableColumn id="52" xr3:uid="{8D783BF0-D9EE-49A2-937E-17A4EAC16E64}" name="May 2023 Units" dataDxfId="736" totalsRowDxfId="811">
      <calculatedColumnFormula>$U4/$BU4*BM4</calculatedColumnFormula>
    </tableColumn>
    <tableColumn id="53" xr3:uid="{E4F017AA-DDC7-44EC-8BBF-3536F5AC7118}" name="Jun 2023 Units" dataDxfId="735" totalsRowDxfId="810">
      <calculatedColumnFormula>$U4/$BU4*BN4</calculatedColumnFormula>
    </tableColumn>
    <tableColumn id="54" xr3:uid="{84DAF830-B077-4C60-8285-ED4BEA453BC7}" name="Jul 2023 Units" dataDxfId="734" totalsRowDxfId="809">
      <calculatedColumnFormula>$U4/$BU4*BO4</calculatedColumnFormula>
    </tableColumn>
    <tableColumn id="55" xr3:uid="{FDE0AB04-0626-4768-A032-54A9D9A0D3E0}" name="Aug 2023 Units" dataDxfId="733" totalsRowDxfId="808">
      <calculatedColumnFormula>$U4/$BU4*BP4</calculatedColumnFormula>
    </tableColumn>
    <tableColumn id="56" xr3:uid="{4CE37F30-D6CF-4A4B-96FA-B4C1A6135331}" name="Sep 2023 Units" dataDxfId="732" totalsRowDxfId="807">
      <calculatedColumnFormula>$U4/$BU4*BQ4</calculatedColumnFormula>
    </tableColumn>
    <tableColumn id="57" xr3:uid="{E5E228A4-0DD2-4125-8BCD-730136959A95}" name="Oct 2023 Units" dataDxfId="731" totalsRowDxfId="806">
      <calculatedColumnFormula>$U4/$BU4*BR4</calculatedColumnFormula>
    </tableColumn>
    <tableColumn id="58" xr3:uid="{971C9D11-9DCF-411B-8A5B-BCA848BCFCE0}" name="Nov 2023 Units" dataDxfId="730" totalsRowDxfId="805">
      <calculatedColumnFormula>$U4/$BU4*BS4</calculatedColumnFormula>
    </tableColumn>
    <tableColumn id="59" xr3:uid="{0B29E44E-0697-4354-A719-7D3242E325A6}" name="Dec 2023 Units" dataDxfId="729" totalsRowDxfId="804">
      <calculatedColumnFormula>$U4/$BU4*BT4</calculatedColumnFormula>
    </tableColumn>
    <tableColumn id="60" xr3:uid="{D6C80D90-50A1-4575-923C-0704CEBCABC7}" name="P1" dataDxfId="728" totalsRowDxfId="803">
      <calculatedColumnFormula>IF($S4&gt;0,IF(AND(MONTH($P4)&lt;=BI$1,MONTH($Q4)&gt;=BI$1),1,0),0)</calculatedColumnFormula>
    </tableColumn>
    <tableColumn id="61" xr3:uid="{2FAE83A0-9708-41D7-A0DC-A70CE793BAB6}" name="P2" dataDxfId="727" totalsRowDxfId="802">
      <calculatedColumnFormula>IF($S4&gt;0,IF(AND(MONTH($P4)&lt;=BJ$1,MONTH($Q4)&gt;=BJ$1),1,0),0)</calculatedColumnFormula>
    </tableColumn>
    <tableColumn id="62" xr3:uid="{9E80DDA6-C770-42EF-8A51-362A3A402179}" name="P3" dataDxfId="726" totalsRowDxfId="801">
      <calculatedColumnFormula>IF($S4&gt;0,IF(AND(MONTH($P4)&lt;=BK$1,MONTH($Q4)&gt;=BK$1),1,0),0)</calculatedColumnFormula>
    </tableColumn>
    <tableColumn id="63" xr3:uid="{691361E3-F0F6-4742-8A36-0EA166D9136A}" name="P4" dataDxfId="725" totalsRowDxfId="800">
      <calculatedColumnFormula>IF($S4&gt;0,IF(AND(MONTH($P4)&lt;=BL$1,MONTH($Q4)&gt;=BL$1),1,0),0)</calculatedColumnFormula>
    </tableColumn>
    <tableColumn id="64" xr3:uid="{D4443703-C0CA-494F-8DC1-4F2CC6E9C112}" name="P5" dataDxfId="724" totalsRowDxfId="799">
      <calculatedColumnFormula>IF($S4&gt;0,IF(AND(MONTH($P4)&lt;=BM$1,MONTH($Q4)&gt;=BM$1),1,0),0)</calculatedColumnFormula>
    </tableColumn>
    <tableColumn id="65" xr3:uid="{79806658-D187-4EB0-8735-B29295B27175}" name="P6" dataDxfId="723" totalsRowDxfId="798">
      <calculatedColumnFormula>IF($S4&gt;0,IF(AND(MONTH($P4)&lt;=BN$1,MONTH($Q4)&gt;=BN$1),1,0),0)</calculatedColumnFormula>
    </tableColumn>
    <tableColumn id="66" xr3:uid="{8528EBDF-A775-414E-8361-0EDAA34F6B58}" name="P7" dataDxfId="722" totalsRowDxfId="797">
      <calculatedColumnFormula>IF($S4&gt;0,IF(AND(MONTH($P4)&lt;=BO$1,MONTH($Q4)&gt;=BO$1),1,0),0)</calculatedColumnFormula>
    </tableColumn>
    <tableColumn id="67" xr3:uid="{8F81A2AC-03A1-40BA-97FC-4E18AE6EE3F1}" name="P8" dataDxfId="721" totalsRowDxfId="796">
      <calculatedColumnFormula>IF($S4&gt;0,IF(AND(MONTH($P4)&lt;=BP$1,MONTH($Q4)&gt;=BP$1),1,0),0)</calculatedColumnFormula>
    </tableColumn>
    <tableColumn id="68" xr3:uid="{E3CEAA00-3B8E-440F-BEBF-FD948DEB5B7B}" name="P9" dataDxfId="720" totalsRowDxfId="795">
      <calculatedColumnFormula>IF($S4&gt;0,IF(AND(MONTH($P4)&lt;=BQ$1,MONTH($Q4)&gt;=BQ$1),1,0),0)</calculatedColumnFormula>
    </tableColumn>
    <tableColumn id="69" xr3:uid="{2824A15C-3C8F-4364-B66D-3A1B7F9A8D53}" name="P10" dataDxfId="719" totalsRowDxfId="794">
      <calculatedColumnFormula>IF($S4&gt;0,IF(AND(MONTH($P4)&lt;=BR$1,MONTH($Q4)&gt;=BR$1),1,0),0)</calculatedColumnFormula>
    </tableColumn>
    <tableColumn id="70" xr3:uid="{726A4D4C-86D4-4BAE-AFA4-400D8F6D94D2}" name="P11" dataDxfId="718" totalsRowDxfId="793">
      <calculatedColumnFormula>IF($S4&gt;0,IF(AND(MONTH($P4)&lt;=BS$1,MONTH($Q4)&gt;=BS$1),1,0),0)</calculatedColumnFormula>
    </tableColumn>
    <tableColumn id="71" xr3:uid="{B2806D43-9238-4C36-8232-7CF7663F8ECC}" name="P12" dataDxfId="717" totalsRowDxfId="792">
      <calculatedColumnFormula>IF($S4&gt;0,IF(AND(MONTH($P4)&lt;=BT$1,MONTH($Q4)&gt;=BT$1),1,0),0)</calculatedColumnFormula>
    </tableColumn>
    <tableColumn id="72" xr3:uid="{5B1FE0F4-998F-4492-BE05-B4349438165C}" name="Total" dataDxfId="716" totalsRowDxfId="791">
      <calculatedColumnFormula>SUM(tblSOW[[#This Row],[P1]:[P12]])</calculatedColumnFormula>
    </tableColumn>
    <tableColumn id="73" xr3:uid="{536532BB-C884-44D2-AEE8-159BEC53C544}" name="FTE Cost" dataDxfId="715" totalsRowDxfId="790">
      <calculatedColumnFormula>IFERROR(VLOOKUP(H4,[1]Parameters!CK:CN,3,0),0)</calculatedColumnFormula>
    </tableColumn>
    <tableColumn id="74" xr3:uid="{65107B32-4B83-4F40-8008-C6D8B11CD60B}" name="Task Cost" dataDxfId="714" totalsRowDxfId="789">
      <calculatedColumnFormula>IFERROR(VLOOKUP(K4,[1]Parameters!BN:BW,10,0),0)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387C-61BB-4A8B-A1E7-170D8CD2C819}">
  <sheetPr>
    <tabColor theme="5" tint="0.59999389629810485"/>
  </sheetPr>
  <dimension ref="A1:CG305"/>
  <sheetViews>
    <sheetView tabSelected="1" zoomScaleNormal="100" workbookViewId="0">
      <pane xSplit="1" ySplit="3" topLeftCell="G4" activePane="bottomRight" state="frozen"/>
      <selection pane="topRight" activeCell="B1" sqref="B1"/>
      <selection pane="bottomLeft" activeCell="A4" sqref="A4"/>
      <selection pane="bottomRight" activeCell="I16" sqref="I16"/>
    </sheetView>
  </sheetViews>
  <sheetFormatPr defaultColWidth="9" defaultRowHeight="14.4"/>
  <cols>
    <col min="1" max="1" width="32" style="5" customWidth="1"/>
    <col min="2" max="2" width="32" style="3" customWidth="1"/>
    <col min="3" max="3" width="15.33203125" style="3" bestFit="1" customWidth="1"/>
    <col min="4" max="4" width="13.33203125" style="4" bestFit="1" customWidth="1"/>
    <col min="5" max="5" width="20.6640625" style="4" bestFit="1" customWidth="1"/>
    <col min="6" max="6" width="29.44140625" style="4" customWidth="1"/>
    <col min="7" max="7" width="33.109375" style="4" customWidth="1"/>
    <col min="8" max="8" width="17.33203125" style="5" bestFit="1" customWidth="1"/>
    <col min="9" max="9" width="26.109375" style="3" customWidth="1"/>
    <col min="10" max="10" width="27.44140625" bestFit="1" customWidth="1"/>
    <col min="11" max="11" width="30.44140625" style="3" customWidth="1"/>
    <col min="12" max="12" width="38" customWidth="1"/>
    <col min="13" max="13" width="43.109375" customWidth="1"/>
    <col min="14" max="14" width="16.44140625" customWidth="1"/>
    <col min="15" max="15" width="24.44140625" style="7" customWidth="1"/>
    <col min="16" max="16" width="16.88671875" style="8" customWidth="1"/>
    <col min="17" max="17" width="19.6640625" style="8" customWidth="1"/>
    <col min="18" max="18" width="30.88671875" customWidth="1"/>
    <col min="19" max="20" width="9" customWidth="1"/>
    <col min="21" max="21" width="12" style="3" customWidth="1"/>
    <col min="22" max="22" width="22.109375" style="3" customWidth="1"/>
    <col min="23" max="23" width="31.109375" style="3" customWidth="1"/>
    <col min="24" max="24" width="18.33203125" style="3" bestFit="1" customWidth="1"/>
    <col min="25" max="25" width="13.33203125" style="3" customWidth="1"/>
    <col min="26" max="26" width="13.44140625" style="3" customWidth="1"/>
    <col min="27" max="27" width="14.88671875" style="3" customWidth="1"/>
    <col min="28" max="28" width="14.44140625" style="5" customWidth="1"/>
    <col min="29" max="29" width="14.88671875" style="3" customWidth="1"/>
    <col min="30" max="31" width="15.109375" style="3" customWidth="1"/>
    <col min="32" max="32" width="14.44140625" style="3" customWidth="1"/>
    <col min="33" max="33" width="15.109375" style="3" customWidth="1"/>
    <col min="34" max="34" width="15" style="3" customWidth="1"/>
    <col min="35" max="35" width="14.44140625" style="3" customWidth="1"/>
    <col min="36" max="37" width="15.109375" style="3" customWidth="1"/>
    <col min="38" max="38" width="14.88671875" style="3" customWidth="1"/>
    <col min="39" max="39" width="15.44140625" style="3" customWidth="1"/>
    <col min="40" max="40" width="15.109375" style="3" customWidth="1"/>
    <col min="41" max="44" width="14.44140625" style="3" customWidth="1"/>
    <col min="45" max="45" width="14.88671875" style="3" customWidth="1"/>
    <col min="46" max="46" width="14.44140625" style="3" customWidth="1"/>
    <col min="47" max="47" width="14" style="3" customWidth="1"/>
    <col min="48" max="48" width="14.44140625" style="3" customWidth="1"/>
    <col min="49" max="49" width="14.88671875" style="3" customWidth="1"/>
    <col min="50" max="50" width="14.44140625" style="3" customWidth="1"/>
    <col min="51" max="51" width="15" style="3" customWidth="1"/>
    <col min="52" max="52" width="14.88671875" style="3" customWidth="1"/>
    <col min="53" max="56" width="15.44140625" style="3" customWidth="1"/>
    <col min="57" max="57" width="15.88671875" style="3" customWidth="1"/>
    <col min="58" max="58" width="15.44140625" style="3" customWidth="1"/>
    <col min="59" max="59" width="15" style="3" customWidth="1"/>
    <col min="60" max="60" width="15.44140625" style="3" customWidth="1"/>
    <col min="61" max="61" width="15.88671875" style="3" customWidth="1"/>
    <col min="62" max="62" width="15.44140625" style="3" customWidth="1"/>
    <col min="63" max="63" width="16" style="3" customWidth="1"/>
    <col min="64" max="64" width="15.88671875" style="3" customWidth="1"/>
    <col min="65" max="73" width="9.109375" style="3" customWidth="1"/>
    <col min="74" max="74" width="12.44140625" style="3" customWidth="1"/>
    <col min="75" max="75" width="13.88671875" style="3" customWidth="1"/>
    <col min="76" max="77" width="9.109375" style="3" customWidth="1"/>
    <col min="78" max="78" width="11" style="3" customWidth="1"/>
    <col min="79" max="79" width="11.44140625" style="3" customWidth="1"/>
    <col min="80" max="80" width="2.88671875" style="4" customWidth="1"/>
    <col min="81" max="81" width="32.109375" style="4" bestFit="1" customWidth="1"/>
    <col min="82" max="82" width="22.109375" style="4" bestFit="1" customWidth="1"/>
    <col min="83" max="83" width="11.44140625" style="4" bestFit="1" customWidth="1"/>
    <col min="84" max="84" width="10.109375" style="4" bestFit="1" customWidth="1"/>
    <col min="85" max="85" width="9.88671875" style="4" bestFit="1" customWidth="1"/>
    <col min="86" max="16384" width="9" style="4"/>
  </cols>
  <sheetData>
    <row r="1" spans="1:79" ht="15" thickBot="1">
      <c r="A1" s="120" t="s">
        <v>0</v>
      </c>
      <c r="B1" s="121">
        <f>AVERAGE([32]Parameters!AH2:AS2)</f>
        <v>3.399999999999999</v>
      </c>
      <c r="G1"/>
      <c r="J1" s="3"/>
      <c r="M1" s="8"/>
      <c r="R1" s="3"/>
      <c r="S1" s="9"/>
      <c r="T1" s="77"/>
      <c r="U1" s="77"/>
      <c r="V1" s="11"/>
      <c r="W1" s="11"/>
      <c r="X1" s="122">
        <f>SUM(tblSOW9[Budget total cost])</f>
        <v>1846109.4227201596</v>
      </c>
      <c r="AB1" s="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3">
        <v>1</v>
      </c>
      <c r="BJ1" s="3">
        <v>2</v>
      </c>
      <c r="BK1" s="3">
        <v>3</v>
      </c>
      <c r="BL1" s="3">
        <v>4</v>
      </c>
      <c r="BM1" s="3">
        <v>5</v>
      </c>
      <c r="BN1" s="3">
        <v>6</v>
      </c>
      <c r="BO1" s="3">
        <v>7</v>
      </c>
      <c r="BP1" s="3">
        <v>8</v>
      </c>
      <c r="BQ1" s="3">
        <v>9</v>
      </c>
      <c r="BR1" s="3">
        <v>10</v>
      </c>
      <c r="BS1" s="3">
        <v>11</v>
      </c>
      <c r="BT1" s="3">
        <v>12</v>
      </c>
      <c r="BX1" s="4"/>
      <c r="BY1" s="14"/>
      <c r="BZ1" s="4">
        <f>SUM(CD4:CD1048576)</f>
        <v>0</v>
      </c>
      <c r="CA1" s="4"/>
    </row>
    <row r="2" spans="1:79" s="18" customFormat="1" ht="29.4" thickBot="1">
      <c r="A2" s="18" t="s">
        <v>1</v>
      </c>
      <c r="B2" s="18" t="s">
        <v>2</v>
      </c>
      <c r="C2" s="18" t="s">
        <v>2</v>
      </c>
      <c r="D2" s="18" t="s">
        <v>2</v>
      </c>
      <c r="E2" s="18" t="s">
        <v>3</v>
      </c>
      <c r="F2" s="18" t="s">
        <v>4</v>
      </c>
      <c r="G2" s="123" t="s">
        <v>5</v>
      </c>
      <c r="H2" s="18" t="s">
        <v>1</v>
      </c>
      <c r="I2" s="18" t="s">
        <v>6</v>
      </c>
      <c r="J2" s="18" t="s">
        <v>7</v>
      </c>
      <c r="K2" s="21" t="s">
        <v>8</v>
      </c>
      <c r="L2" s="18" t="s">
        <v>1</v>
      </c>
      <c r="P2" s="19"/>
      <c r="Q2" s="19"/>
      <c r="R2" s="18" t="s">
        <v>9</v>
      </c>
      <c r="S2" s="18" t="s">
        <v>1</v>
      </c>
      <c r="V2" s="21"/>
      <c r="W2" s="21"/>
      <c r="X2" s="79" t="s">
        <v>10</v>
      </c>
      <c r="Y2" s="124" t="s">
        <v>11</v>
      </c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6"/>
      <c r="AK2" s="124" t="s">
        <v>12</v>
      </c>
      <c r="AL2" s="125"/>
      <c r="AM2" s="125"/>
      <c r="AN2" s="125"/>
      <c r="AO2" s="125"/>
      <c r="AP2" s="125"/>
      <c r="AQ2" s="125"/>
      <c r="AR2" s="125"/>
      <c r="AS2" s="125"/>
      <c r="AT2" s="125"/>
      <c r="AU2" s="125"/>
      <c r="AV2" s="126"/>
      <c r="AW2" s="124" t="s">
        <v>13</v>
      </c>
      <c r="AX2" s="125"/>
      <c r="AY2" s="125"/>
      <c r="AZ2" s="125"/>
      <c r="BA2" s="125"/>
      <c r="BB2" s="125"/>
      <c r="BC2" s="125"/>
      <c r="BD2" s="125"/>
      <c r="BE2" s="125"/>
      <c r="BF2" s="125"/>
      <c r="BG2" s="125"/>
      <c r="BH2" s="126"/>
      <c r="BI2" s="124" t="s">
        <v>14</v>
      </c>
      <c r="BJ2" s="125"/>
      <c r="BK2" s="125"/>
      <c r="BL2" s="125"/>
      <c r="BM2" s="125"/>
      <c r="BN2" s="125"/>
      <c r="BO2" s="125"/>
      <c r="BP2" s="125"/>
      <c r="BQ2" s="125"/>
      <c r="BR2" s="125"/>
      <c r="BS2" s="125"/>
      <c r="BT2" s="125"/>
      <c r="BU2" s="126"/>
    </row>
    <row r="3" spans="1:79" s="36" customFormat="1" ht="43.2">
      <c r="A3" s="42" t="s">
        <v>15</v>
      </c>
      <c r="B3" s="42" t="s">
        <v>16</v>
      </c>
      <c r="C3" s="42" t="s">
        <v>17</v>
      </c>
      <c r="D3" s="127" t="s">
        <v>18</v>
      </c>
      <c r="E3" s="127" t="s">
        <v>19</v>
      </c>
      <c r="F3" s="127" t="s">
        <v>20</v>
      </c>
      <c r="G3" s="127" t="s">
        <v>21</v>
      </c>
      <c r="H3" s="42" t="s">
        <v>22</v>
      </c>
      <c r="I3" s="42" t="s">
        <v>23</v>
      </c>
      <c r="J3" s="42" t="s">
        <v>24</v>
      </c>
      <c r="K3" s="42" t="s">
        <v>25</v>
      </c>
      <c r="L3" s="128" t="s">
        <v>26</v>
      </c>
      <c r="M3" s="129" t="s">
        <v>27</v>
      </c>
      <c r="N3" s="130" t="s">
        <v>28</v>
      </c>
      <c r="O3" s="131" t="s">
        <v>29</v>
      </c>
      <c r="P3" s="96" t="s">
        <v>30</v>
      </c>
      <c r="Q3" s="96" t="s">
        <v>31</v>
      </c>
      <c r="R3" s="42" t="s">
        <v>32</v>
      </c>
      <c r="S3" s="42" t="s">
        <v>33</v>
      </c>
      <c r="T3" s="43" t="s">
        <v>34</v>
      </c>
      <c r="U3" s="3" t="s">
        <v>35</v>
      </c>
      <c r="V3" s="3" t="s">
        <v>36</v>
      </c>
      <c r="W3" s="3" t="s">
        <v>37</v>
      </c>
      <c r="X3" s="3" t="s">
        <v>38</v>
      </c>
      <c r="Y3" s="43" t="s">
        <v>39</v>
      </c>
      <c r="Z3" s="43" t="s">
        <v>40</v>
      </c>
      <c r="AA3" s="43" t="s">
        <v>41</v>
      </c>
      <c r="AB3" s="43" t="s">
        <v>42</v>
      </c>
      <c r="AC3" s="43" t="s">
        <v>43</v>
      </c>
      <c r="AD3" s="43" t="s">
        <v>44</v>
      </c>
      <c r="AE3" s="43" t="s">
        <v>45</v>
      </c>
      <c r="AF3" s="43" t="s">
        <v>46</v>
      </c>
      <c r="AG3" s="43" t="s">
        <v>47</v>
      </c>
      <c r="AH3" s="43" t="s">
        <v>48</v>
      </c>
      <c r="AI3" s="43" t="s">
        <v>49</v>
      </c>
      <c r="AJ3" s="43" t="s">
        <v>50</v>
      </c>
      <c r="AK3" s="43" t="s">
        <v>51</v>
      </c>
      <c r="AL3" s="43" t="s">
        <v>52</v>
      </c>
      <c r="AM3" s="43" t="s">
        <v>53</v>
      </c>
      <c r="AN3" s="43" t="s">
        <v>54</v>
      </c>
      <c r="AO3" s="43" t="s">
        <v>55</v>
      </c>
      <c r="AP3" s="43" t="s">
        <v>56</v>
      </c>
      <c r="AQ3" s="43" t="s">
        <v>57</v>
      </c>
      <c r="AR3" s="43" t="s">
        <v>58</v>
      </c>
      <c r="AS3" s="43" t="s">
        <v>59</v>
      </c>
      <c r="AT3" s="43" t="s">
        <v>60</v>
      </c>
      <c r="AU3" s="43" t="s">
        <v>61</v>
      </c>
      <c r="AV3" s="43" t="s">
        <v>62</v>
      </c>
      <c r="AW3" s="43" t="s">
        <v>63</v>
      </c>
      <c r="AX3" s="43" t="s">
        <v>64</v>
      </c>
      <c r="AY3" s="43" t="s">
        <v>65</v>
      </c>
      <c r="AZ3" s="43" t="s">
        <v>66</v>
      </c>
      <c r="BA3" s="43" t="s">
        <v>67</v>
      </c>
      <c r="BB3" s="43" t="s">
        <v>68</v>
      </c>
      <c r="BC3" s="43" t="s">
        <v>69</v>
      </c>
      <c r="BD3" s="43" t="s">
        <v>70</v>
      </c>
      <c r="BE3" s="43" t="s">
        <v>71</v>
      </c>
      <c r="BF3" s="43" t="s">
        <v>72</v>
      </c>
      <c r="BG3" s="43" t="s">
        <v>73</v>
      </c>
      <c r="BH3" s="43" t="s">
        <v>74</v>
      </c>
      <c r="BI3" s="43" t="s">
        <v>75</v>
      </c>
      <c r="BJ3" s="43" t="s">
        <v>76</v>
      </c>
      <c r="BK3" s="43" t="s">
        <v>77</v>
      </c>
      <c r="BL3" s="43" t="s">
        <v>78</v>
      </c>
      <c r="BM3" s="43" t="s">
        <v>79</v>
      </c>
      <c r="BN3" s="43" t="s">
        <v>80</v>
      </c>
      <c r="BO3" s="43" t="s">
        <v>81</v>
      </c>
      <c r="BP3" s="43" t="s">
        <v>82</v>
      </c>
      <c r="BQ3" s="43" t="s">
        <v>83</v>
      </c>
      <c r="BR3" s="43" t="s">
        <v>84</v>
      </c>
      <c r="BS3" s="43" t="s">
        <v>85</v>
      </c>
      <c r="BT3" s="43" t="s">
        <v>86</v>
      </c>
      <c r="BU3" s="43" t="s">
        <v>87</v>
      </c>
      <c r="BV3" s="43" t="s">
        <v>88</v>
      </c>
      <c r="BW3" s="43" t="s">
        <v>89</v>
      </c>
      <c r="BY3" s="37"/>
      <c r="BZ3" s="4"/>
    </row>
    <row r="4" spans="1:79" s="75" customFormat="1">
      <c r="A4" s="67" t="str">
        <f>CONCATENATE(INDEX([32]Parameters!$U$1:$V$20,MATCH(C4,[32]Parameters!$V$1:$V$20,0),1),"/",VLOOKUP(D4,[32]Parameters!$CG$1:$CH$12,2,0),".",E4,".",H4,".",LEFT(J4,3),"-",LEFT(K4,4))</f>
        <v>B80/20.P264.404.950-T102</v>
      </c>
      <c r="B4" s="67" t="s">
        <v>111</v>
      </c>
      <c r="C4" s="67" t="s">
        <v>164</v>
      </c>
      <c r="D4" s="39" t="s">
        <v>95</v>
      </c>
      <c r="E4" s="40" t="str">
        <f>VLOOKUP(F4,[32]Parameters!P:T,4,0)</f>
        <v>P264</v>
      </c>
      <c r="F4" s="39" t="s">
        <v>165</v>
      </c>
      <c r="G4" s="67" t="s">
        <v>125</v>
      </c>
      <c r="H4" s="67">
        <f>INDEX([32]Parameters!$B:$C,MATCH(I4,[32]Parameters!$C:$C,0),1)</f>
        <v>404</v>
      </c>
      <c r="I4" s="68" t="s">
        <v>101</v>
      </c>
      <c r="J4" s="68" t="s">
        <v>94</v>
      </c>
      <c r="K4" s="68" t="s">
        <v>102</v>
      </c>
      <c r="L4" s="68" t="str">
        <f>IFERROR(VLOOKUP(tblSOW9[[#This Row],[Employee name ]],[32]Parameters!CP:CS,4,0),"")</f>
        <v/>
      </c>
      <c r="M4" s="91"/>
      <c r="N4" s="67"/>
      <c r="O4" s="76"/>
      <c r="P4" s="72">
        <v>44927</v>
      </c>
      <c r="Q4" s="72">
        <v>45291</v>
      </c>
      <c r="R4" s="67"/>
      <c r="S4" s="67">
        <f t="shared" ref="S4:S28" si="0">IF(OR(P4="",Q4=""),0,MONTH(Q4)-MONTH(P4)+1)</f>
        <v>12</v>
      </c>
      <c r="T4" s="68"/>
      <c r="U4" s="68">
        <f>240-26</f>
        <v>214</v>
      </c>
      <c r="V4" s="68"/>
      <c r="W4" s="68" t="str">
        <f>IF(AND(ISNUMBER(SEARCH("-T",tblSOW9[[#This Row],[Budget Item]])),NOT(ISNUMBER(tblSOW9[[#This Row],[Task Units]]))),"Please Enter Task Units",
IF(AND(ISNUMBER(SEARCH("-E000",tblSOW9[[#This Row],[Budget Item]])),NOT(ISNUMBER(tblSOW9[[#This Row],[% work on project]]))),"Please Enter Organic FTE",
IF(AND(ISNUMBER(SEARCH("-E999",tblSOW9[[#This Row],[Budget Item]])),NOT(ISNUMBER(tblSOW9[[#This Row],[External Expenses/Revenues USD]]))),"Please Enter External Expenses",
"")))</f>
        <v/>
      </c>
      <c r="X4" s="67">
        <f>SUM(tblSOW9[[#This Row],[Jan 2023 USD]:[Dec 2023 USD]])</f>
        <v>204347.03147316549</v>
      </c>
      <c r="Y4" s="74">
        <f>tblSOW9[[#This Row],[FTE Cost]]*tblSOW9[[#This Row],[% work on project]]*AK4/12+tblSOW9[[#This Row],[Task Cost]]*AW4+tblSOW9[[#This Row],[External Expenses/Revenues USD]]*BI4/tblSOW9[[#This Row],[Duration]]</f>
        <v>17028.919289430458</v>
      </c>
      <c r="Z4" s="74">
        <f>tblSOW9[[#This Row],[FTE Cost]]*tblSOW9[[#This Row],[% work on project]]*AL4/12+tblSOW9[[#This Row],[Task Cost]]*AX4+tblSOW9[[#This Row],[External Expenses/Revenues USD]]*BJ4/tblSOW9[[#This Row],[Duration]]</f>
        <v>17028.919289430458</v>
      </c>
      <c r="AA4" s="74">
        <f>tblSOW9[[#This Row],[FTE Cost]]*tblSOW9[[#This Row],[% work on project]]*AM4/12+tblSOW9[[#This Row],[Task Cost]]*AY4+tblSOW9[[#This Row],[External Expenses/Revenues USD]]*BK4/tblSOW9[[#This Row],[Duration]]</f>
        <v>17028.919289430458</v>
      </c>
      <c r="AB4" s="74">
        <f>tblSOW9[[#This Row],[FTE Cost]]*tblSOW9[[#This Row],[% work on project]]*AN4/12+tblSOW9[[#This Row],[Task Cost]]*AZ4+tblSOW9[[#This Row],[External Expenses/Revenues USD]]*BL4/tblSOW9[[#This Row],[Duration]]</f>
        <v>17028.919289430458</v>
      </c>
      <c r="AC4" s="74">
        <f>tblSOW9[[#This Row],[FTE Cost]]*tblSOW9[[#This Row],[% work on project]]*AO4/12+tblSOW9[[#This Row],[Task Cost]]*BA4+tblSOW9[[#This Row],[External Expenses/Revenues USD]]*BM4/tblSOW9[[#This Row],[Duration]]</f>
        <v>17028.919289430458</v>
      </c>
      <c r="AD4" s="74">
        <f>tblSOW9[[#This Row],[FTE Cost]]*tblSOW9[[#This Row],[% work on project]]*AP4/12+tblSOW9[[#This Row],[Task Cost]]*BB4+tblSOW9[[#This Row],[External Expenses/Revenues USD]]*BN4/tblSOW9[[#This Row],[Duration]]</f>
        <v>17028.919289430458</v>
      </c>
      <c r="AE4" s="74">
        <f>tblSOW9[[#This Row],[FTE Cost]]*tblSOW9[[#This Row],[% work on project]]*AQ4/12+tblSOW9[[#This Row],[Task Cost]]*BC4+tblSOW9[[#This Row],[External Expenses/Revenues USD]]*BO4/tblSOW9[[#This Row],[Duration]]</f>
        <v>17028.919289430458</v>
      </c>
      <c r="AF4" s="74">
        <f>tblSOW9[[#This Row],[FTE Cost]]*tblSOW9[[#This Row],[% work on project]]*AR4/12+tblSOW9[[#This Row],[Task Cost]]*BD4+tblSOW9[[#This Row],[External Expenses/Revenues USD]]*BP4/tblSOW9[[#This Row],[Duration]]</f>
        <v>17028.919289430458</v>
      </c>
      <c r="AG4" s="74">
        <f>tblSOW9[[#This Row],[FTE Cost]]*tblSOW9[[#This Row],[% work on project]]*AS4/12+tblSOW9[[#This Row],[Task Cost]]*BE4+tblSOW9[[#This Row],[External Expenses/Revenues USD]]*BQ4/tblSOW9[[#This Row],[Duration]]</f>
        <v>17028.919289430458</v>
      </c>
      <c r="AH4" s="74">
        <f>tblSOW9[[#This Row],[FTE Cost]]*tblSOW9[[#This Row],[% work on project]]*AT4/12+tblSOW9[[#This Row],[Task Cost]]*BF4+tblSOW9[[#This Row],[External Expenses/Revenues USD]]*BR4/tblSOW9[[#This Row],[Duration]]</f>
        <v>17028.919289430458</v>
      </c>
      <c r="AI4" s="74">
        <f>tblSOW9[[#This Row],[FTE Cost]]*tblSOW9[[#This Row],[% work on project]]*AU4/12+tblSOW9[[#This Row],[Task Cost]]*BG4+tblSOW9[[#This Row],[External Expenses/Revenues USD]]*BS4/tblSOW9[[#This Row],[Duration]]</f>
        <v>17028.919289430458</v>
      </c>
      <c r="AJ4" s="74">
        <f>tblSOW9[[#This Row],[FTE Cost]]*tblSOW9[[#This Row],[% work on project]]*AV4/12+tblSOW9[[#This Row],[Task Cost]]*BH4+tblSOW9[[#This Row],[External Expenses/Revenues USD]]*BT4/tblSOW9[[#This Row],[Duration]]</f>
        <v>17028.919289430458</v>
      </c>
      <c r="AK4" s="74">
        <f t="shared" ref="AK4:AV8" si="1">$S4/$BU4*BI4</f>
        <v>1</v>
      </c>
      <c r="AL4" s="74">
        <f t="shared" si="1"/>
        <v>1</v>
      </c>
      <c r="AM4" s="74">
        <f t="shared" si="1"/>
        <v>1</v>
      </c>
      <c r="AN4" s="74">
        <f t="shared" si="1"/>
        <v>1</v>
      </c>
      <c r="AO4" s="74">
        <f t="shared" si="1"/>
        <v>1</v>
      </c>
      <c r="AP4" s="74">
        <f t="shared" si="1"/>
        <v>1</v>
      </c>
      <c r="AQ4" s="74">
        <f t="shared" si="1"/>
        <v>1</v>
      </c>
      <c r="AR4" s="74">
        <f t="shared" si="1"/>
        <v>1</v>
      </c>
      <c r="AS4" s="74">
        <f t="shared" si="1"/>
        <v>1</v>
      </c>
      <c r="AT4" s="74">
        <f t="shared" si="1"/>
        <v>1</v>
      </c>
      <c r="AU4" s="74">
        <f t="shared" si="1"/>
        <v>1</v>
      </c>
      <c r="AV4" s="74">
        <f t="shared" si="1"/>
        <v>1</v>
      </c>
      <c r="AW4" s="74">
        <f t="shared" ref="AW4:BH8" si="2">$U4/$BU4*BI4</f>
        <v>17.833333333333332</v>
      </c>
      <c r="AX4" s="74">
        <f t="shared" si="2"/>
        <v>17.833333333333332</v>
      </c>
      <c r="AY4" s="74">
        <f t="shared" si="2"/>
        <v>17.833333333333332</v>
      </c>
      <c r="AZ4" s="74">
        <f t="shared" si="2"/>
        <v>17.833333333333332</v>
      </c>
      <c r="BA4" s="74">
        <f t="shared" si="2"/>
        <v>17.833333333333332</v>
      </c>
      <c r="BB4" s="74">
        <f t="shared" si="2"/>
        <v>17.833333333333332</v>
      </c>
      <c r="BC4" s="74">
        <f t="shared" si="2"/>
        <v>17.833333333333332</v>
      </c>
      <c r="BD4" s="74">
        <f t="shared" si="2"/>
        <v>17.833333333333332</v>
      </c>
      <c r="BE4" s="74">
        <f t="shared" si="2"/>
        <v>17.833333333333332</v>
      </c>
      <c r="BF4" s="74">
        <f t="shared" si="2"/>
        <v>17.833333333333332</v>
      </c>
      <c r="BG4" s="74">
        <f t="shared" si="2"/>
        <v>17.833333333333332</v>
      </c>
      <c r="BH4" s="74">
        <f t="shared" si="2"/>
        <v>17.833333333333332</v>
      </c>
      <c r="BI4" s="74">
        <f t="shared" ref="BI4:BT8" si="3">IF($S4&gt;0,IF(AND(MONTH($P4)&lt;=BI$1,MONTH($Q4)&gt;=BI$1),1,0),0)</f>
        <v>1</v>
      </c>
      <c r="BJ4" s="74">
        <f t="shared" si="3"/>
        <v>1</v>
      </c>
      <c r="BK4" s="74">
        <f t="shared" si="3"/>
        <v>1</v>
      </c>
      <c r="BL4" s="74">
        <f t="shared" si="3"/>
        <v>1</v>
      </c>
      <c r="BM4" s="74">
        <f t="shared" si="3"/>
        <v>1</v>
      </c>
      <c r="BN4" s="74">
        <f t="shared" si="3"/>
        <v>1</v>
      </c>
      <c r="BO4" s="74">
        <f t="shared" si="3"/>
        <v>1</v>
      </c>
      <c r="BP4" s="74">
        <f t="shared" si="3"/>
        <v>1</v>
      </c>
      <c r="BQ4" s="74">
        <f t="shared" si="3"/>
        <v>1</v>
      </c>
      <c r="BR4" s="74">
        <f t="shared" si="3"/>
        <v>1</v>
      </c>
      <c r="BS4" s="74">
        <f t="shared" si="3"/>
        <v>1</v>
      </c>
      <c r="BT4" s="74">
        <f t="shared" si="3"/>
        <v>1</v>
      </c>
      <c r="BU4" s="74">
        <f>SUM(tblSOW9[[#This Row],[P1]:[P12]])</f>
        <v>12</v>
      </c>
      <c r="BV4" s="74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4" s="74">
        <f>IFERROR(VLOOKUP(K4,[32]Parameters!BN:BW,10,0),0)</f>
        <v>954.8926704353529</v>
      </c>
    </row>
    <row r="5" spans="1:79" s="75" customFormat="1">
      <c r="A5" s="67" t="str">
        <f>CONCATENATE(INDEX([32]Parameters!$U$1:$V$20,MATCH(C5,[32]Parameters!$V$1:$V$20,0),1),"/",VLOOKUP(D5,[32]Parameters!$CG$1:$CH$12,2,0),".",E5,".",H5,".",LEFT(J5,3),"-",LEFT(K5,4))</f>
        <v>B80/20.P264.427.950-T109</v>
      </c>
      <c r="B5" s="67" t="s">
        <v>111</v>
      </c>
      <c r="C5" s="67" t="s">
        <v>164</v>
      </c>
      <c r="D5" s="39" t="s">
        <v>95</v>
      </c>
      <c r="E5" s="40" t="str">
        <f>VLOOKUP(F5,[32]Parameters!P:T,4,0)</f>
        <v>P264</v>
      </c>
      <c r="F5" s="39" t="s">
        <v>165</v>
      </c>
      <c r="G5" s="67" t="s">
        <v>125</v>
      </c>
      <c r="H5" s="67">
        <f>INDEX([32]Parameters!$B:$C,MATCH(I5,[32]Parameters!$C:$C,0),1)</f>
        <v>427</v>
      </c>
      <c r="I5" s="68" t="s">
        <v>104</v>
      </c>
      <c r="J5" s="68" t="s">
        <v>94</v>
      </c>
      <c r="K5" s="68" t="s">
        <v>105</v>
      </c>
      <c r="L5" s="68" t="str">
        <f>IFERROR(VLOOKUP(tblSOW9[[#This Row],[Employee name ]],[32]Parameters!CP:CS,4,0),"")</f>
        <v/>
      </c>
      <c r="M5" s="91"/>
      <c r="N5" s="67"/>
      <c r="O5" s="76"/>
      <c r="P5" s="72">
        <v>44927</v>
      </c>
      <c r="Q5" s="72">
        <v>45291</v>
      </c>
      <c r="R5" s="67"/>
      <c r="S5" s="67">
        <f t="shared" si="0"/>
        <v>12</v>
      </c>
      <c r="T5" s="68"/>
      <c r="U5" s="68">
        <f>306-25</f>
        <v>281</v>
      </c>
      <c r="V5" s="68"/>
      <c r="W5" s="68" t="str">
        <f>IF(AND(ISNUMBER(SEARCH("-T",tblSOW9[[#This Row],[Budget Item]])),NOT(ISNUMBER(tblSOW9[[#This Row],[Task Units]]))),"Please Enter Task Units",
IF(AND(ISNUMBER(SEARCH("-E000",tblSOW9[[#This Row],[Budget Item]])),NOT(ISNUMBER(tblSOW9[[#This Row],[% work on project]]))),"Please Enter Organic FTE",
IF(AND(ISNUMBER(SEARCH("-E999",tblSOW9[[#This Row],[Budget Item]])),NOT(ISNUMBER(tblSOW9[[#This Row],[External Expenses/Revenues USD]]))),"Please Enter External Expenses",
"")))</f>
        <v/>
      </c>
      <c r="X5" s="67">
        <f>SUM(tblSOW9[[#This Row],[Jan 2023 USD]:[Dec 2023 USD]])</f>
        <v>216289.80565987065</v>
      </c>
      <c r="Y5" s="74">
        <f>tblSOW9[[#This Row],[FTE Cost]]*tblSOW9[[#This Row],[% work on project]]*AK5/12+tblSOW9[[#This Row],[Task Cost]]*AW5+tblSOW9[[#This Row],[External Expenses/Revenues USD]]*BI5/tblSOW9[[#This Row],[Duration]]</f>
        <v>18024.150471655892</v>
      </c>
      <c r="Z5" s="74">
        <f>tblSOW9[[#This Row],[FTE Cost]]*tblSOW9[[#This Row],[% work on project]]*AL5/12+tblSOW9[[#This Row],[Task Cost]]*AX5+tblSOW9[[#This Row],[External Expenses/Revenues USD]]*BJ5/tblSOW9[[#This Row],[Duration]]</f>
        <v>18024.150471655892</v>
      </c>
      <c r="AA5" s="74">
        <f>tblSOW9[[#This Row],[FTE Cost]]*tblSOW9[[#This Row],[% work on project]]*AM5/12+tblSOW9[[#This Row],[Task Cost]]*AY5+tblSOW9[[#This Row],[External Expenses/Revenues USD]]*BK5/tblSOW9[[#This Row],[Duration]]</f>
        <v>18024.150471655892</v>
      </c>
      <c r="AB5" s="74">
        <f>tblSOW9[[#This Row],[FTE Cost]]*tblSOW9[[#This Row],[% work on project]]*AN5/12+tblSOW9[[#This Row],[Task Cost]]*AZ5+tblSOW9[[#This Row],[External Expenses/Revenues USD]]*BL5/tblSOW9[[#This Row],[Duration]]</f>
        <v>18024.150471655892</v>
      </c>
      <c r="AC5" s="74">
        <f>tblSOW9[[#This Row],[FTE Cost]]*tblSOW9[[#This Row],[% work on project]]*AO5/12+tblSOW9[[#This Row],[Task Cost]]*BA5+tblSOW9[[#This Row],[External Expenses/Revenues USD]]*BM5/tblSOW9[[#This Row],[Duration]]</f>
        <v>18024.150471655892</v>
      </c>
      <c r="AD5" s="74">
        <f>tblSOW9[[#This Row],[FTE Cost]]*tblSOW9[[#This Row],[% work on project]]*AP5/12+tblSOW9[[#This Row],[Task Cost]]*BB5+tblSOW9[[#This Row],[External Expenses/Revenues USD]]*BN5/tblSOW9[[#This Row],[Duration]]</f>
        <v>18024.150471655892</v>
      </c>
      <c r="AE5" s="74">
        <f>tblSOW9[[#This Row],[FTE Cost]]*tblSOW9[[#This Row],[% work on project]]*AQ5/12+tblSOW9[[#This Row],[Task Cost]]*BC5+tblSOW9[[#This Row],[External Expenses/Revenues USD]]*BO5/tblSOW9[[#This Row],[Duration]]</f>
        <v>18024.150471655892</v>
      </c>
      <c r="AF5" s="74">
        <f>tblSOW9[[#This Row],[FTE Cost]]*tblSOW9[[#This Row],[% work on project]]*AR5/12+tblSOW9[[#This Row],[Task Cost]]*BD5+tblSOW9[[#This Row],[External Expenses/Revenues USD]]*BP5/tblSOW9[[#This Row],[Duration]]</f>
        <v>18024.150471655892</v>
      </c>
      <c r="AG5" s="74">
        <f>tblSOW9[[#This Row],[FTE Cost]]*tblSOW9[[#This Row],[% work on project]]*AS5/12+tblSOW9[[#This Row],[Task Cost]]*BE5+tblSOW9[[#This Row],[External Expenses/Revenues USD]]*BQ5/tblSOW9[[#This Row],[Duration]]</f>
        <v>18024.150471655892</v>
      </c>
      <c r="AH5" s="74">
        <f>tblSOW9[[#This Row],[FTE Cost]]*tblSOW9[[#This Row],[% work on project]]*AT5/12+tblSOW9[[#This Row],[Task Cost]]*BF5+tblSOW9[[#This Row],[External Expenses/Revenues USD]]*BR5/tblSOW9[[#This Row],[Duration]]</f>
        <v>18024.150471655892</v>
      </c>
      <c r="AI5" s="74">
        <f>tblSOW9[[#This Row],[FTE Cost]]*tblSOW9[[#This Row],[% work on project]]*AU5/12+tblSOW9[[#This Row],[Task Cost]]*BG5+tblSOW9[[#This Row],[External Expenses/Revenues USD]]*BS5/tblSOW9[[#This Row],[Duration]]</f>
        <v>18024.150471655892</v>
      </c>
      <c r="AJ5" s="74">
        <f>tblSOW9[[#This Row],[FTE Cost]]*tblSOW9[[#This Row],[% work on project]]*AV5/12+tblSOW9[[#This Row],[Task Cost]]*BH5+tblSOW9[[#This Row],[External Expenses/Revenues USD]]*BT5/tblSOW9[[#This Row],[Duration]]</f>
        <v>18024.150471655892</v>
      </c>
      <c r="AK5" s="74">
        <f t="shared" si="1"/>
        <v>1</v>
      </c>
      <c r="AL5" s="74">
        <f t="shared" si="1"/>
        <v>1</v>
      </c>
      <c r="AM5" s="74">
        <f t="shared" si="1"/>
        <v>1</v>
      </c>
      <c r="AN5" s="74">
        <f t="shared" si="1"/>
        <v>1</v>
      </c>
      <c r="AO5" s="74">
        <f t="shared" si="1"/>
        <v>1</v>
      </c>
      <c r="AP5" s="74">
        <f t="shared" si="1"/>
        <v>1</v>
      </c>
      <c r="AQ5" s="74">
        <f t="shared" si="1"/>
        <v>1</v>
      </c>
      <c r="AR5" s="74">
        <f t="shared" si="1"/>
        <v>1</v>
      </c>
      <c r="AS5" s="74">
        <f t="shared" si="1"/>
        <v>1</v>
      </c>
      <c r="AT5" s="74">
        <f t="shared" si="1"/>
        <v>1</v>
      </c>
      <c r="AU5" s="74">
        <f t="shared" si="1"/>
        <v>1</v>
      </c>
      <c r="AV5" s="74">
        <f t="shared" si="1"/>
        <v>1</v>
      </c>
      <c r="AW5" s="74">
        <f t="shared" si="2"/>
        <v>23.416666666666668</v>
      </c>
      <c r="AX5" s="74">
        <f t="shared" si="2"/>
        <v>23.416666666666668</v>
      </c>
      <c r="AY5" s="74">
        <f t="shared" si="2"/>
        <v>23.416666666666668</v>
      </c>
      <c r="AZ5" s="74">
        <f t="shared" si="2"/>
        <v>23.416666666666668</v>
      </c>
      <c r="BA5" s="74">
        <f t="shared" si="2"/>
        <v>23.416666666666668</v>
      </c>
      <c r="BB5" s="74">
        <f t="shared" si="2"/>
        <v>23.416666666666668</v>
      </c>
      <c r="BC5" s="74">
        <f t="shared" si="2"/>
        <v>23.416666666666668</v>
      </c>
      <c r="BD5" s="74">
        <f t="shared" si="2"/>
        <v>23.416666666666668</v>
      </c>
      <c r="BE5" s="74">
        <f t="shared" si="2"/>
        <v>23.416666666666668</v>
      </c>
      <c r="BF5" s="74">
        <f t="shared" si="2"/>
        <v>23.416666666666668</v>
      </c>
      <c r="BG5" s="74">
        <f t="shared" si="2"/>
        <v>23.416666666666668</v>
      </c>
      <c r="BH5" s="74">
        <f t="shared" si="2"/>
        <v>23.416666666666668</v>
      </c>
      <c r="BI5" s="74">
        <f t="shared" si="3"/>
        <v>1</v>
      </c>
      <c r="BJ5" s="74">
        <f t="shared" si="3"/>
        <v>1</v>
      </c>
      <c r="BK5" s="74">
        <f t="shared" si="3"/>
        <v>1</v>
      </c>
      <c r="BL5" s="74">
        <f t="shared" si="3"/>
        <v>1</v>
      </c>
      <c r="BM5" s="74">
        <f t="shared" si="3"/>
        <v>1</v>
      </c>
      <c r="BN5" s="74">
        <f t="shared" si="3"/>
        <v>1</v>
      </c>
      <c r="BO5" s="74">
        <f t="shared" si="3"/>
        <v>1</v>
      </c>
      <c r="BP5" s="74">
        <f t="shared" si="3"/>
        <v>1</v>
      </c>
      <c r="BQ5" s="74">
        <f t="shared" si="3"/>
        <v>1</v>
      </c>
      <c r="BR5" s="74">
        <f t="shared" si="3"/>
        <v>1</v>
      </c>
      <c r="BS5" s="74">
        <f t="shared" si="3"/>
        <v>1</v>
      </c>
      <c r="BT5" s="74">
        <f t="shared" si="3"/>
        <v>1</v>
      </c>
      <c r="BU5" s="74">
        <f>SUM(tblSOW9[[#This Row],[P1]:[P12]])</f>
        <v>12</v>
      </c>
      <c r="BV5" s="74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5" s="74">
        <f>IFERROR(VLOOKUP(K5,[32]Parameters!BN:BW,10,0),0)</f>
        <v>769.71461088921956</v>
      </c>
    </row>
    <row r="6" spans="1:79" s="75" customFormat="1">
      <c r="A6" s="67" t="str">
        <f>CONCATENATE(INDEX([32]Parameters!$U$1:$V$20,MATCH(C6,[32]Parameters!$V$1:$V$20,0),1),"/",VLOOKUP(D6,[32]Parameters!$CG$1:$CH$12,2,0),".",E6,".",H6,".",LEFT(J6,3),"-",LEFT(K6,4))</f>
        <v>B80/20.P264.405.950-T103</v>
      </c>
      <c r="B6" s="67" t="s">
        <v>111</v>
      </c>
      <c r="C6" s="67" t="s">
        <v>164</v>
      </c>
      <c r="D6" s="39" t="s">
        <v>95</v>
      </c>
      <c r="E6" s="40" t="str">
        <f>VLOOKUP(F6,[32]Parameters!P:T,4,0)</f>
        <v>P264</v>
      </c>
      <c r="F6" s="39" t="s">
        <v>165</v>
      </c>
      <c r="G6" s="67" t="s">
        <v>125</v>
      </c>
      <c r="H6" s="67">
        <f>INDEX([32]Parameters!$B:$C,MATCH(I6,[32]Parameters!$C:$C,0),1)</f>
        <v>405</v>
      </c>
      <c r="I6" s="68" t="s">
        <v>98</v>
      </c>
      <c r="J6" s="68" t="s">
        <v>94</v>
      </c>
      <c r="K6" s="68" t="s">
        <v>99</v>
      </c>
      <c r="L6" s="68" t="str">
        <f>IFERROR(VLOOKUP(tblSOW9[[#This Row],[Employee name ]],[32]Parameters!CP:CS,4,0),"")</f>
        <v/>
      </c>
      <c r="M6" s="91"/>
      <c r="N6" s="67"/>
      <c r="O6" s="76"/>
      <c r="P6" s="72">
        <v>44927</v>
      </c>
      <c r="Q6" s="72">
        <v>45291</v>
      </c>
      <c r="R6" s="67"/>
      <c r="S6" s="67">
        <f t="shared" si="0"/>
        <v>12</v>
      </c>
      <c r="T6" s="68"/>
      <c r="U6" s="68">
        <v>22</v>
      </c>
      <c r="V6" s="68"/>
      <c r="W6" s="68" t="str">
        <f>IF(AND(ISNUMBER(SEARCH("-T",tblSOW9[[#This Row],[Budget Item]])),NOT(ISNUMBER(tblSOW9[[#This Row],[Task Units]]))),"Please Enter Task Units",
IF(AND(ISNUMBER(SEARCH("-E000",tblSOW9[[#This Row],[Budget Item]])),NOT(ISNUMBER(tblSOW9[[#This Row],[% work on project]]))),"Please Enter Organic FTE",
IF(AND(ISNUMBER(SEARCH("-E999",tblSOW9[[#This Row],[Budget Item]])),NOT(ISNUMBER(tblSOW9[[#This Row],[External Expenses/Revenues USD]]))),"Please Enter External Expenses",
"")))</f>
        <v/>
      </c>
      <c r="X6" s="67">
        <f>SUM(tblSOW9[[#This Row],[Jan 2023 USD]:[Dec 2023 USD]])</f>
        <v>17486.534377984466</v>
      </c>
      <c r="Y6" s="74">
        <f>tblSOW9[[#This Row],[FTE Cost]]*tblSOW9[[#This Row],[% work on project]]*AK6/12+tblSOW9[[#This Row],[Task Cost]]*AW6+tblSOW9[[#This Row],[External Expenses/Revenues USD]]*BI6/tblSOW9[[#This Row],[Duration]]</f>
        <v>1457.2111981653723</v>
      </c>
      <c r="Z6" s="74">
        <f>tblSOW9[[#This Row],[FTE Cost]]*tblSOW9[[#This Row],[% work on project]]*AL6/12+tblSOW9[[#This Row],[Task Cost]]*AX6+tblSOW9[[#This Row],[External Expenses/Revenues USD]]*BJ6/tblSOW9[[#This Row],[Duration]]</f>
        <v>1457.2111981653723</v>
      </c>
      <c r="AA6" s="74">
        <f>tblSOW9[[#This Row],[FTE Cost]]*tblSOW9[[#This Row],[% work on project]]*AM6/12+tblSOW9[[#This Row],[Task Cost]]*AY6+tblSOW9[[#This Row],[External Expenses/Revenues USD]]*BK6/tblSOW9[[#This Row],[Duration]]</f>
        <v>1457.2111981653723</v>
      </c>
      <c r="AB6" s="74">
        <f>tblSOW9[[#This Row],[FTE Cost]]*tblSOW9[[#This Row],[% work on project]]*AN6/12+tblSOW9[[#This Row],[Task Cost]]*AZ6+tblSOW9[[#This Row],[External Expenses/Revenues USD]]*BL6/tblSOW9[[#This Row],[Duration]]</f>
        <v>1457.2111981653723</v>
      </c>
      <c r="AC6" s="74">
        <f>tblSOW9[[#This Row],[FTE Cost]]*tblSOW9[[#This Row],[% work on project]]*AO6/12+tblSOW9[[#This Row],[Task Cost]]*BA6+tblSOW9[[#This Row],[External Expenses/Revenues USD]]*BM6/tblSOW9[[#This Row],[Duration]]</f>
        <v>1457.2111981653723</v>
      </c>
      <c r="AD6" s="74">
        <f>tblSOW9[[#This Row],[FTE Cost]]*tblSOW9[[#This Row],[% work on project]]*AP6/12+tblSOW9[[#This Row],[Task Cost]]*BB6+tblSOW9[[#This Row],[External Expenses/Revenues USD]]*BN6/tblSOW9[[#This Row],[Duration]]</f>
        <v>1457.2111981653723</v>
      </c>
      <c r="AE6" s="74">
        <f>tblSOW9[[#This Row],[FTE Cost]]*tblSOW9[[#This Row],[% work on project]]*AQ6/12+tblSOW9[[#This Row],[Task Cost]]*BC6+tblSOW9[[#This Row],[External Expenses/Revenues USD]]*BO6/tblSOW9[[#This Row],[Duration]]</f>
        <v>1457.2111981653723</v>
      </c>
      <c r="AF6" s="74">
        <f>tblSOW9[[#This Row],[FTE Cost]]*tblSOW9[[#This Row],[% work on project]]*AR6/12+tblSOW9[[#This Row],[Task Cost]]*BD6+tblSOW9[[#This Row],[External Expenses/Revenues USD]]*BP6/tblSOW9[[#This Row],[Duration]]</f>
        <v>1457.2111981653723</v>
      </c>
      <c r="AG6" s="74">
        <f>tblSOW9[[#This Row],[FTE Cost]]*tblSOW9[[#This Row],[% work on project]]*AS6/12+tblSOW9[[#This Row],[Task Cost]]*BE6+tblSOW9[[#This Row],[External Expenses/Revenues USD]]*BQ6/tblSOW9[[#This Row],[Duration]]</f>
        <v>1457.2111981653723</v>
      </c>
      <c r="AH6" s="74">
        <f>tblSOW9[[#This Row],[FTE Cost]]*tblSOW9[[#This Row],[% work on project]]*AT6/12+tblSOW9[[#This Row],[Task Cost]]*BF6+tblSOW9[[#This Row],[External Expenses/Revenues USD]]*BR6/tblSOW9[[#This Row],[Duration]]</f>
        <v>1457.2111981653723</v>
      </c>
      <c r="AI6" s="74">
        <f>tblSOW9[[#This Row],[FTE Cost]]*tblSOW9[[#This Row],[% work on project]]*AU6/12+tblSOW9[[#This Row],[Task Cost]]*BG6+tblSOW9[[#This Row],[External Expenses/Revenues USD]]*BS6/tblSOW9[[#This Row],[Duration]]</f>
        <v>1457.2111981653723</v>
      </c>
      <c r="AJ6" s="74">
        <f>tblSOW9[[#This Row],[FTE Cost]]*tblSOW9[[#This Row],[% work on project]]*AV6/12+tblSOW9[[#This Row],[Task Cost]]*BH6+tblSOW9[[#This Row],[External Expenses/Revenues USD]]*BT6/tblSOW9[[#This Row],[Duration]]</f>
        <v>1457.2111981653723</v>
      </c>
      <c r="AK6" s="74">
        <f t="shared" si="1"/>
        <v>1</v>
      </c>
      <c r="AL6" s="74">
        <f t="shared" si="1"/>
        <v>1</v>
      </c>
      <c r="AM6" s="74">
        <f t="shared" si="1"/>
        <v>1</v>
      </c>
      <c r="AN6" s="74">
        <f t="shared" si="1"/>
        <v>1</v>
      </c>
      <c r="AO6" s="74">
        <f t="shared" si="1"/>
        <v>1</v>
      </c>
      <c r="AP6" s="74">
        <f t="shared" si="1"/>
        <v>1</v>
      </c>
      <c r="AQ6" s="74">
        <f t="shared" si="1"/>
        <v>1</v>
      </c>
      <c r="AR6" s="74">
        <f t="shared" si="1"/>
        <v>1</v>
      </c>
      <c r="AS6" s="74">
        <f t="shared" si="1"/>
        <v>1</v>
      </c>
      <c r="AT6" s="74">
        <f t="shared" si="1"/>
        <v>1</v>
      </c>
      <c r="AU6" s="74">
        <f t="shared" si="1"/>
        <v>1</v>
      </c>
      <c r="AV6" s="74">
        <f t="shared" si="1"/>
        <v>1</v>
      </c>
      <c r="AW6" s="74">
        <f t="shared" si="2"/>
        <v>1.8333333333333333</v>
      </c>
      <c r="AX6" s="74">
        <f t="shared" si="2"/>
        <v>1.8333333333333333</v>
      </c>
      <c r="AY6" s="74">
        <f t="shared" si="2"/>
        <v>1.8333333333333333</v>
      </c>
      <c r="AZ6" s="74">
        <f t="shared" si="2"/>
        <v>1.8333333333333333</v>
      </c>
      <c r="BA6" s="74">
        <f t="shared" si="2"/>
        <v>1.8333333333333333</v>
      </c>
      <c r="BB6" s="74">
        <f t="shared" si="2"/>
        <v>1.8333333333333333</v>
      </c>
      <c r="BC6" s="74">
        <f t="shared" si="2"/>
        <v>1.8333333333333333</v>
      </c>
      <c r="BD6" s="74">
        <f t="shared" si="2"/>
        <v>1.8333333333333333</v>
      </c>
      <c r="BE6" s="74">
        <f t="shared" si="2"/>
        <v>1.8333333333333333</v>
      </c>
      <c r="BF6" s="74">
        <f t="shared" si="2"/>
        <v>1.8333333333333333</v>
      </c>
      <c r="BG6" s="74">
        <f t="shared" si="2"/>
        <v>1.8333333333333333</v>
      </c>
      <c r="BH6" s="74">
        <f t="shared" si="2"/>
        <v>1.8333333333333333</v>
      </c>
      <c r="BI6" s="74">
        <f t="shared" si="3"/>
        <v>1</v>
      </c>
      <c r="BJ6" s="74">
        <f t="shared" si="3"/>
        <v>1</v>
      </c>
      <c r="BK6" s="74">
        <f t="shared" si="3"/>
        <v>1</v>
      </c>
      <c r="BL6" s="74">
        <f t="shared" si="3"/>
        <v>1</v>
      </c>
      <c r="BM6" s="74">
        <f t="shared" si="3"/>
        <v>1</v>
      </c>
      <c r="BN6" s="74">
        <f t="shared" si="3"/>
        <v>1</v>
      </c>
      <c r="BO6" s="74">
        <f t="shared" si="3"/>
        <v>1</v>
      </c>
      <c r="BP6" s="74">
        <f t="shared" si="3"/>
        <v>1</v>
      </c>
      <c r="BQ6" s="74">
        <f t="shared" si="3"/>
        <v>1</v>
      </c>
      <c r="BR6" s="74">
        <f t="shared" si="3"/>
        <v>1</v>
      </c>
      <c r="BS6" s="74">
        <f t="shared" si="3"/>
        <v>1</v>
      </c>
      <c r="BT6" s="74">
        <f t="shared" si="3"/>
        <v>1</v>
      </c>
      <c r="BU6" s="74">
        <f>SUM(tblSOW9[[#This Row],[P1]:[P12]])</f>
        <v>12</v>
      </c>
      <c r="BV6" s="74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6" s="74">
        <f>IFERROR(VLOOKUP(K6,[32]Parameters!BN:BW,10,0),0)</f>
        <v>794.84247172656671</v>
      </c>
    </row>
    <row r="7" spans="1:79" s="75" customFormat="1">
      <c r="A7" s="67" t="str">
        <f>CONCATENATE(INDEX([32]Parameters!$U$1:$V$20,MATCH(C7,[32]Parameters!$V$1:$V$20,0),1),"/",VLOOKUP(D7,[32]Parameters!$CG$1:$CH$12,2,0),".",E7,".",H7,".",LEFT(J7,3),"-",LEFT(K7,4))</f>
        <v>B80/20.P264.406.950-T112</v>
      </c>
      <c r="B7" s="67" t="s">
        <v>111</v>
      </c>
      <c r="C7" s="67" t="s">
        <v>164</v>
      </c>
      <c r="D7" s="39" t="s">
        <v>95</v>
      </c>
      <c r="E7" s="40" t="str">
        <f>VLOOKUP(F7,[32]Parameters!P:T,4,0)</f>
        <v>P264</v>
      </c>
      <c r="F7" s="39" t="s">
        <v>165</v>
      </c>
      <c r="G7" s="67" t="s">
        <v>125</v>
      </c>
      <c r="H7" s="67">
        <f>INDEX([32]Parameters!$B:$C,MATCH(I7,[32]Parameters!$C:$C,0),1)</f>
        <v>406</v>
      </c>
      <c r="I7" s="68" t="s">
        <v>106</v>
      </c>
      <c r="J7" s="68" t="s">
        <v>94</v>
      </c>
      <c r="K7" s="68" t="s">
        <v>107</v>
      </c>
      <c r="L7" s="68" t="str">
        <f>IFERROR(VLOOKUP(tblSOW9[[#This Row],[Employee name ]],[32]Parameters!CP:CS,4,0),"")</f>
        <v/>
      </c>
      <c r="M7" s="91"/>
      <c r="N7" s="67"/>
      <c r="O7" s="76"/>
      <c r="P7" s="72">
        <v>44927</v>
      </c>
      <c r="Q7" s="72">
        <v>45291</v>
      </c>
      <c r="R7" s="67"/>
      <c r="S7" s="67">
        <f t="shared" si="0"/>
        <v>12</v>
      </c>
      <c r="T7" s="68"/>
      <c r="U7" s="68">
        <v>127</v>
      </c>
      <c r="V7" s="68"/>
      <c r="W7" s="68" t="str">
        <f>IF(AND(ISNUMBER(SEARCH("-T",tblSOW9[[#This Row],[Budget Item]])),NOT(ISNUMBER(tblSOW9[[#This Row],[Task Units]]))),"Please Enter Task Units",
IF(AND(ISNUMBER(SEARCH("-E000",tblSOW9[[#This Row],[Budget Item]])),NOT(ISNUMBER(tblSOW9[[#This Row],[% work on project]]))),"Please Enter Organic FTE",
IF(AND(ISNUMBER(SEARCH("-E999",tblSOW9[[#This Row],[Budget Item]])),NOT(ISNUMBER(tblSOW9[[#This Row],[External Expenses/Revenues USD]]))),"Please Enter External Expenses",
"")))</f>
        <v/>
      </c>
      <c r="X7" s="67">
        <f>SUM(tblSOW9[[#This Row],[Jan 2023 USD]:[Dec 2023 USD]])</f>
        <v>120569.92676252978</v>
      </c>
      <c r="Y7" s="74">
        <f>tblSOW9[[#This Row],[FTE Cost]]*tblSOW9[[#This Row],[% work on project]]*AK7/12+tblSOW9[[#This Row],[Task Cost]]*AW7+tblSOW9[[#This Row],[External Expenses/Revenues USD]]*BI7/tblSOW9[[#This Row],[Duration]]</f>
        <v>10047.493896877484</v>
      </c>
      <c r="Z7" s="74">
        <f>tblSOW9[[#This Row],[FTE Cost]]*tblSOW9[[#This Row],[% work on project]]*AL7/12+tblSOW9[[#This Row],[Task Cost]]*AX7+tblSOW9[[#This Row],[External Expenses/Revenues USD]]*BJ7/tblSOW9[[#This Row],[Duration]]</f>
        <v>10047.493896877484</v>
      </c>
      <c r="AA7" s="74">
        <f>tblSOW9[[#This Row],[FTE Cost]]*tblSOW9[[#This Row],[% work on project]]*AM7/12+tblSOW9[[#This Row],[Task Cost]]*AY7+tblSOW9[[#This Row],[External Expenses/Revenues USD]]*BK7/tblSOW9[[#This Row],[Duration]]</f>
        <v>10047.493896877484</v>
      </c>
      <c r="AB7" s="74">
        <f>tblSOW9[[#This Row],[FTE Cost]]*tblSOW9[[#This Row],[% work on project]]*AN7/12+tblSOW9[[#This Row],[Task Cost]]*AZ7+tblSOW9[[#This Row],[External Expenses/Revenues USD]]*BL7/tblSOW9[[#This Row],[Duration]]</f>
        <v>10047.493896877484</v>
      </c>
      <c r="AC7" s="74">
        <f>tblSOW9[[#This Row],[FTE Cost]]*tblSOW9[[#This Row],[% work on project]]*AO7/12+tblSOW9[[#This Row],[Task Cost]]*BA7+tblSOW9[[#This Row],[External Expenses/Revenues USD]]*BM7/tblSOW9[[#This Row],[Duration]]</f>
        <v>10047.493896877484</v>
      </c>
      <c r="AD7" s="74">
        <f>tblSOW9[[#This Row],[FTE Cost]]*tblSOW9[[#This Row],[% work on project]]*AP7/12+tblSOW9[[#This Row],[Task Cost]]*BB7+tblSOW9[[#This Row],[External Expenses/Revenues USD]]*BN7/tblSOW9[[#This Row],[Duration]]</f>
        <v>10047.493896877484</v>
      </c>
      <c r="AE7" s="74">
        <f>tblSOW9[[#This Row],[FTE Cost]]*tblSOW9[[#This Row],[% work on project]]*AQ7/12+tblSOW9[[#This Row],[Task Cost]]*BC7+tblSOW9[[#This Row],[External Expenses/Revenues USD]]*BO7/tblSOW9[[#This Row],[Duration]]</f>
        <v>10047.493896877484</v>
      </c>
      <c r="AF7" s="74">
        <f>tblSOW9[[#This Row],[FTE Cost]]*tblSOW9[[#This Row],[% work on project]]*AR7/12+tblSOW9[[#This Row],[Task Cost]]*BD7+tblSOW9[[#This Row],[External Expenses/Revenues USD]]*BP7/tblSOW9[[#This Row],[Duration]]</f>
        <v>10047.493896877484</v>
      </c>
      <c r="AG7" s="74">
        <f>tblSOW9[[#This Row],[FTE Cost]]*tblSOW9[[#This Row],[% work on project]]*AS7/12+tblSOW9[[#This Row],[Task Cost]]*BE7+tblSOW9[[#This Row],[External Expenses/Revenues USD]]*BQ7/tblSOW9[[#This Row],[Duration]]</f>
        <v>10047.493896877484</v>
      </c>
      <c r="AH7" s="74">
        <f>tblSOW9[[#This Row],[FTE Cost]]*tblSOW9[[#This Row],[% work on project]]*AT7/12+tblSOW9[[#This Row],[Task Cost]]*BF7+tblSOW9[[#This Row],[External Expenses/Revenues USD]]*BR7/tblSOW9[[#This Row],[Duration]]</f>
        <v>10047.493896877484</v>
      </c>
      <c r="AI7" s="74">
        <f>tblSOW9[[#This Row],[FTE Cost]]*tblSOW9[[#This Row],[% work on project]]*AU7/12+tblSOW9[[#This Row],[Task Cost]]*BG7+tblSOW9[[#This Row],[External Expenses/Revenues USD]]*BS7/tblSOW9[[#This Row],[Duration]]</f>
        <v>10047.493896877484</v>
      </c>
      <c r="AJ7" s="74">
        <f>tblSOW9[[#This Row],[FTE Cost]]*tblSOW9[[#This Row],[% work on project]]*AV7/12+tblSOW9[[#This Row],[Task Cost]]*BH7+tblSOW9[[#This Row],[External Expenses/Revenues USD]]*BT7/tblSOW9[[#This Row],[Duration]]</f>
        <v>10047.493896877484</v>
      </c>
      <c r="AK7" s="74">
        <f t="shared" si="1"/>
        <v>1</v>
      </c>
      <c r="AL7" s="74">
        <f t="shared" si="1"/>
        <v>1</v>
      </c>
      <c r="AM7" s="74">
        <f t="shared" si="1"/>
        <v>1</v>
      </c>
      <c r="AN7" s="74">
        <f t="shared" si="1"/>
        <v>1</v>
      </c>
      <c r="AO7" s="74">
        <f t="shared" si="1"/>
        <v>1</v>
      </c>
      <c r="AP7" s="74">
        <f t="shared" si="1"/>
        <v>1</v>
      </c>
      <c r="AQ7" s="74">
        <f t="shared" si="1"/>
        <v>1</v>
      </c>
      <c r="AR7" s="74">
        <f t="shared" si="1"/>
        <v>1</v>
      </c>
      <c r="AS7" s="74">
        <f t="shared" si="1"/>
        <v>1</v>
      </c>
      <c r="AT7" s="74">
        <f t="shared" si="1"/>
        <v>1</v>
      </c>
      <c r="AU7" s="74">
        <f t="shared" si="1"/>
        <v>1</v>
      </c>
      <c r="AV7" s="74">
        <f t="shared" si="1"/>
        <v>1</v>
      </c>
      <c r="AW7" s="74">
        <f t="shared" si="2"/>
        <v>10.583333333333334</v>
      </c>
      <c r="AX7" s="74">
        <f t="shared" si="2"/>
        <v>10.583333333333334</v>
      </c>
      <c r="AY7" s="74">
        <f t="shared" si="2"/>
        <v>10.583333333333334</v>
      </c>
      <c r="AZ7" s="74">
        <f t="shared" si="2"/>
        <v>10.583333333333334</v>
      </c>
      <c r="BA7" s="74">
        <f t="shared" si="2"/>
        <v>10.583333333333334</v>
      </c>
      <c r="BB7" s="74">
        <f t="shared" si="2"/>
        <v>10.583333333333334</v>
      </c>
      <c r="BC7" s="74">
        <f t="shared" si="2"/>
        <v>10.583333333333334</v>
      </c>
      <c r="BD7" s="74">
        <f t="shared" si="2"/>
        <v>10.583333333333334</v>
      </c>
      <c r="BE7" s="74">
        <f t="shared" si="2"/>
        <v>10.583333333333334</v>
      </c>
      <c r="BF7" s="74">
        <f t="shared" si="2"/>
        <v>10.583333333333334</v>
      </c>
      <c r="BG7" s="74">
        <f t="shared" si="2"/>
        <v>10.583333333333334</v>
      </c>
      <c r="BH7" s="74">
        <f t="shared" si="2"/>
        <v>10.583333333333334</v>
      </c>
      <c r="BI7" s="74">
        <f t="shared" si="3"/>
        <v>1</v>
      </c>
      <c r="BJ7" s="74">
        <f t="shared" si="3"/>
        <v>1</v>
      </c>
      <c r="BK7" s="74">
        <f t="shared" si="3"/>
        <v>1</v>
      </c>
      <c r="BL7" s="74">
        <f t="shared" si="3"/>
        <v>1</v>
      </c>
      <c r="BM7" s="74">
        <f t="shared" si="3"/>
        <v>1</v>
      </c>
      <c r="BN7" s="74">
        <f t="shared" si="3"/>
        <v>1</v>
      </c>
      <c r="BO7" s="74">
        <f t="shared" si="3"/>
        <v>1</v>
      </c>
      <c r="BP7" s="74">
        <f t="shared" si="3"/>
        <v>1</v>
      </c>
      <c r="BQ7" s="74">
        <f t="shared" si="3"/>
        <v>1</v>
      </c>
      <c r="BR7" s="74">
        <f t="shared" si="3"/>
        <v>1</v>
      </c>
      <c r="BS7" s="74">
        <f t="shared" si="3"/>
        <v>1</v>
      </c>
      <c r="BT7" s="74">
        <f t="shared" si="3"/>
        <v>1</v>
      </c>
      <c r="BU7" s="74">
        <f>SUM(tblSOW9[[#This Row],[P1]:[P12]])</f>
        <v>12</v>
      </c>
      <c r="BV7" s="74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7" s="74">
        <f>IFERROR(VLOOKUP(K7,[32]Parameters!BN:BW,10,0),0)</f>
        <v>949.36950206716381</v>
      </c>
    </row>
    <row r="8" spans="1:79" s="75" customFormat="1">
      <c r="A8" s="67" t="str">
        <f>CONCATENATE(INDEX([32]Parameters!$U$1:$V$20,MATCH(C8,[32]Parameters!$V$1:$V$20,0),1),"/",VLOOKUP(D8,[32]Parameters!$CG$1:$CH$12,2,0),".",E8,".",H8,".",LEFT(J8,3),"-",LEFT(K8,4))</f>
        <v>B80/20.P274.404.950-T102</v>
      </c>
      <c r="B8" s="67" t="s">
        <v>111</v>
      </c>
      <c r="C8" s="67" t="s">
        <v>164</v>
      </c>
      <c r="D8" s="39" t="s">
        <v>95</v>
      </c>
      <c r="E8" s="40" t="str">
        <f>VLOOKUP(F8,[32]Parameters!P:T,4,0)</f>
        <v>P274</v>
      </c>
      <c r="F8" s="39" t="s">
        <v>166</v>
      </c>
      <c r="G8" s="67" t="s">
        <v>125</v>
      </c>
      <c r="H8" s="67">
        <f>INDEX([32]Parameters!$B:$C,MATCH(I8,[32]Parameters!$C:$C,0),1)</f>
        <v>404</v>
      </c>
      <c r="I8" s="68" t="s">
        <v>101</v>
      </c>
      <c r="J8" s="68" t="s">
        <v>94</v>
      </c>
      <c r="K8" s="68" t="s">
        <v>102</v>
      </c>
      <c r="L8" s="68" t="str">
        <f>IFERROR(VLOOKUP(tblSOW9[[#This Row],[Employee name ]],[32]Parameters!CP:CS,4,0),"")</f>
        <v/>
      </c>
      <c r="M8" s="91"/>
      <c r="N8" s="67"/>
      <c r="O8" s="76"/>
      <c r="P8" s="72">
        <v>44927</v>
      </c>
      <c r="Q8" s="72">
        <v>45291</v>
      </c>
      <c r="R8" s="67"/>
      <c r="S8" s="67">
        <f t="shared" si="0"/>
        <v>12</v>
      </c>
      <c r="T8" s="68"/>
      <c r="U8" s="68">
        <v>66</v>
      </c>
      <c r="V8" s="68"/>
      <c r="W8" s="68" t="str">
        <f>IF(AND(ISNUMBER(SEARCH("-T",tblSOW9[[#This Row],[Budget Item]])),NOT(ISNUMBER(tblSOW9[[#This Row],[Task Units]]))),"Please Enter Task Units",
IF(AND(ISNUMBER(SEARCH("-E000",tblSOW9[[#This Row],[Budget Item]])),NOT(ISNUMBER(tblSOW9[[#This Row],[% work on project]]))),"Please Enter Organic FTE",
IF(AND(ISNUMBER(SEARCH("-E999",tblSOW9[[#This Row],[Budget Item]])),NOT(ISNUMBER(tblSOW9[[#This Row],[External Expenses/Revenues USD]]))),"Please Enter External Expenses",
"")))</f>
        <v/>
      </c>
      <c r="X8" s="67">
        <f>SUM(tblSOW9[[#This Row],[Jan 2023 USD]:[Dec 2023 USD]])</f>
        <v>63022.916248733301</v>
      </c>
      <c r="Y8" s="74">
        <f>tblSOW9[[#This Row],[FTE Cost]]*tblSOW9[[#This Row],[% work on project]]*AK8/12+tblSOW9[[#This Row],[Task Cost]]*AW8+tblSOW9[[#This Row],[External Expenses/Revenues USD]]*BI8/tblSOW9[[#This Row],[Duration]]</f>
        <v>5251.9096873944409</v>
      </c>
      <c r="Z8" s="74">
        <f>tblSOW9[[#This Row],[FTE Cost]]*tblSOW9[[#This Row],[% work on project]]*AL8/12+tblSOW9[[#This Row],[Task Cost]]*AX8+tblSOW9[[#This Row],[External Expenses/Revenues USD]]*BJ8/tblSOW9[[#This Row],[Duration]]</f>
        <v>5251.9096873944409</v>
      </c>
      <c r="AA8" s="74">
        <f>tblSOW9[[#This Row],[FTE Cost]]*tblSOW9[[#This Row],[% work on project]]*AM8/12+tblSOW9[[#This Row],[Task Cost]]*AY8+tblSOW9[[#This Row],[External Expenses/Revenues USD]]*BK8/tblSOW9[[#This Row],[Duration]]</f>
        <v>5251.9096873944409</v>
      </c>
      <c r="AB8" s="74">
        <f>tblSOW9[[#This Row],[FTE Cost]]*tblSOW9[[#This Row],[% work on project]]*AN8/12+tblSOW9[[#This Row],[Task Cost]]*AZ8+tblSOW9[[#This Row],[External Expenses/Revenues USD]]*BL8/tblSOW9[[#This Row],[Duration]]</f>
        <v>5251.9096873944409</v>
      </c>
      <c r="AC8" s="74">
        <f>tblSOW9[[#This Row],[FTE Cost]]*tblSOW9[[#This Row],[% work on project]]*AO8/12+tblSOW9[[#This Row],[Task Cost]]*BA8+tblSOW9[[#This Row],[External Expenses/Revenues USD]]*BM8/tblSOW9[[#This Row],[Duration]]</f>
        <v>5251.9096873944409</v>
      </c>
      <c r="AD8" s="74">
        <f>tblSOW9[[#This Row],[FTE Cost]]*tblSOW9[[#This Row],[% work on project]]*AP8/12+tblSOW9[[#This Row],[Task Cost]]*BB8+tblSOW9[[#This Row],[External Expenses/Revenues USD]]*BN8/tblSOW9[[#This Row],[Duration]]</f>
        <v>5251.9096873944409</v>
      </c>
      <c r="AE8" s="74">
        <f>tblSOW9[[#This Row],[FTE Cost]]*tblSOW9[[#This Row],[% work on project]]*AQ8/12+tblSOW9[[#This Row],[Task Cost]]*BC8+tblSOW9[[#This Row],[External Expenses/Revenues USD]]*BO8/tblSOW9[[#This Row],[Duration]]</f>
        <v>5251.9096873944409</v>
      </c>
      <c r="AF8" s="74">
        <f>tblSOW9[[#This Row],[FTE Cost]]*tblSOW9[[#This Row],[% work on project]]*AR8/12+tblSOW9[[#This Row],[Task Cost]]*BD8+tblSOW9[[#This Row],[External Expenses/Revenues USD]]*BP8/tblSOW9[[#This Row],[Duration]]</f>
        <v>5251.9096873944409</v>
      </c>
      <c r="AG8" s="74">
        <f>tblSOW9[[#This Row],[FTE Cost]]*tblSOW9[[#This Row],[% work on project]]*AS8/12+tblSOW9[[#This Row],[Task Cost]]*BE8+tblSOW9[[#This Row],[External Expenses/Revenues USD]]*BQ8/tblSOW9[[#This Row],[Duration]]</f>
        <v>5251.9096873944409</v>
      </c>
      <c r="AH8" s="74">
        <f>tblSOW9[[#This Row],[FTE Cost]]*tblSOW9[[#This Row],[% work on project]]*AT8/12+tblSOW9[[#This Row],[Task Cost]]*BF8+tblSOW9[[#This Row],[External Expenses/Revenues USD]]*BR8/tblSOW9[[#This Row],[Duration]]</f>
        <v>5251.9096873944409</v>
      </c>
      <c r="AI8" s="74">
        <f>tblSOW9[[#This Row],[FTE Cost]]*tblSOW9[[#This Row],[% work on project]]*AU8/12+tblSOW9[[#This Row],[Task Cost]]*BG8+tblSOW9[[#This Row],[External Expenses/Revenues USD]]*BS8/tblSOW9[[#This Row],[Duration]]</f>
        <v>5251.9096873944409</v>
      </c>
      <c r="AJ8" s="74">
        <f>tblSOW9[[#This Row],[FTE Cost]]*tblSOW9[[#This Row],[% work on project]]*AV8/12+tblSOW9[[#This Row],[Task Cost]]*BH8+tblSOW9[[#This Row],[External Expenses/Revenues USD]]*BT8/tblSOW9[[#This Row],[Duration]]</f>
        <v>5251.9096873944409</v>
      </c>
      <c r="AK8" s="74">
        <f t="shared" si="1"/>
        <v>1</v>
      </c>
      <c r="AL8" s="74">
        <f t="shared" si="1"/>
        <v>1</v>
      </c>
      <c r="AM8" s="74">
        <f t="shared" si="1"/>
        <v>1</v>
      </c>
      <c r="AN8" s="74">
        <f t="shared" si="1"/>
        <v>1</v>
      </c>
      <c r="AO8" s="74">
        <f t="shared" si="1"/>
        <v>1</v>
      </c>
      <c r="AP8" s="74">
        <f t="shared" si="1"/>
        <v>1</v>
      </c>
      <c r="AQ8" s="74">
        <f t="shared" si="1"/>
        <v>1</v>
      </c>
      <c r="AR8" s="74">
        <f t="shared" si="1"/>
        <v>1</v>
      </c>
      <c r="AS8" s="74">
        <f t="shared" si="1"/>
        <v>1</v>
      </c>
      <c r="AT8" s="74">
        <f t="shared" si="1"/>
        <v>1</v>
      </c>
      <c r="AU8" s="74">
        <f t="shared" si="1"/>
        <v>1</v>
      </c>
      <c r="AV8" s="74">
        <f t="shared" si="1"/>
        <v>1</v>
      </c>
      <c r="AW8" s="74">
        <f t="shared" si="2"/>
        <v>5.5</v>
      </c>
      <c r="AX8" s="74">
        <f t="shared" si="2"/>
        <v>5.5</v>
      </c>
      <c r="AY8" s="74">
        <f t="shared" si="2"/>
        <v>5.5</v>
      </c>
      <c r="AZ8" s="74">
        <f t="shared" si="2"/>
        <v>5.5</v>
      </c>
      <c r="BA8" s="74">
        <f t="shared" si="2"/>
        <v>5.5</v>
      </c>
      <c r="BB8" s="74">
        <f t="shared" si="2"/>
        <v>5.5</v>
      </c>
      <c r="BC8" s="74">
        <f t="shared" si="2"/>
        <v>5.5</v>
      </c>
      <c r="BD8" s="74">
        <f t="shared" si="2"/>
        <v>5.5</v>
      </c>
      <c r="BE8" s="74">
        <f t="shared" si="2"/>
        <v>5.5</v>
      </c>
      <c r="BF8" s="74">
        <f t="shared" si="2"/>
        <v>5.5</v>
      </c>
      <c r="BG8" s="74">
        <f t="shared" si="2"/>
        <v>5.5</v>
      </c>
      <c r="BH8" s="74">
        <f t="shared" si="2"/>
        <v>5.5</v>
      </c>
      <c r="BI8" s="74">
        <f t="shared" si="3"/>
        <v>1</v>
      </c>
      <c r="BJ8" s="74">
        <f t="shared" si="3"/>
        <v>1</v>
      </c>
      <c r="BK8" s="74">
        <f t="shared" si="3"/>
        <v>1</v>
      </c>
      <c r="BL8" s="74">
        <f t="shared" si="3"/>
        <v>1</v>
      </c>
      <c r="BM8" s="74">
        <f t="shared" si="3"/>
        <v>1</v>
      </c>
      <c r="BN8" s="74">
        <f t="shared" si="3"/>
        <v>1</v>
      </c>
      <c r="BO8" s="74">
        <f t="shared" si="3"/>
        <v>1</v>
      </c>
      <c r="BP8" s="74">
        <f t="shared" si="3"/>
        <v>1</v>
      </c>
      <c r="BQ8" s="74">
        <f t="shared" si="3"/>
        <v>1</v>
      </c>
      <c r="BR8" s="74">
        <f t="shared" si="3"/>
        <v>1</v>
      </c>
      <c r="BS8" s="74">
        <f t="shared" si="3"/>
        <v>1</v>
      </c>
      <c r="BT8" s="74">
        <f t="shared" si="3"/>
        <v>1</v>
      </c>
      <c r="BU8" s="74">
        <f>SUM(tblSOW9[[#This Row],[P1]:[P12]])</f>
        <v>12</v>
      </c>
      <c r="BV8" s="74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8" s="74">
        <f>IFERROR(VLOOKUP(K8,[32]Parameters!BN:BW,10,0),0)</f>
        <v>954.8926704353529</v>
      </c>
    </row>
    <row r="9" spans="1:79" s="75" customFormat="1">
      <c r="A9" s="67" t="str">
        <f>CONCATENATE(INDEX([32]Parameters!$U$1:$V$20,MATCH(C9,[32]Parameters!$V$1:$V$20,0),1),"/",VLOOKUP(D9,[32]Parameters!$CG$1:$CH$12,2,0),".",E9,".",H9,".",LEFT(J9,3),"-",LEFT(K9,4))</f>
        <v>B80/20.P274.427.950-T109</v>
      </c>
      <c r="B9" s="67" t="s">
        <v>111</v>
      </c>
      <c r="C9" s="67" t="s">
        <v>164</v>
      </c>
      <c r="D9" s="39" t="s">
        <v>95</v>
      </c>
      <c r="E9" s="40" t="str">
        <f>VLOOKUP(F9,[32]Parameters!P:T,4,0)</f>
        <v>P274</v>
      </c>
      <c r="F9" s="39" t="s">
        <v>166</v>
      </c>
      <c r="G9" s="67" t="s">
        <v>125</v>
      </c>
      <c r="H9" s="67">
        <f>INDEX([32]Parameters!$B:$C,MATCH(I9,[32]Parameters!$C:$C,0),1)</f>
        <v>427</v>
      </c>
      <c r="I9" s="68" t="s">
        <v>104</v>
      </c>
      <c r="J9" s="68" t="s">
        <v>94</v>
      </c>
      <c r="K9" s="68" t="s">
        <v>105</v>
      </c>
      <c r="L9" s="68" t="str">
        <f>IFERROR(VLOOKUP(tblSOW9[[#This Row],[Employee name ]],[32]Parameters!CP:CS,4,0),"")</f>
        <v/>
      </c>
      <c r="M9" s="91"/>
      <c r="N9" s="67"/>
      <c r="O9" s="76"/>
      <c r="P9" s="72">
        <v>44927</v>
      </c>
      <c r="Q9" s="72">
        <v>45291</v>
      </c>
      <c r="R9" s="67"/>
      <c r="S9" s="67">
        <f t="shared" si="0"/>
        <v>12</v>
      </c>
      <c r="T9" s="68"/>
      <c r="U9" s="68">
        <v>25</v>
      </c>
      <c r="V9" s="68"/>
      <c r="W9" s="68" t="str">
        <f>IF(AND(ISNUMBER(SEARCH("-T",tblSOW9[[#This Row],[Budget Item]])),NOT(ISNUMBER(tblSOW9[[#This Row],[Task Units]]))),"Please Enter Task Units",
IF(AND(ISNUMBER(SEARCH("-E000",tblSOW9[[#This Row],[Budget Item]])),NOT(ISNUMBER(tblSOW9[[#This Row],[% work on project]]))),"Please Enter Organic FTE",
IF(AND(ISNUMBER(SEARCH("-E999",tblSOW9[[#This Row],[Budget Item]])),NOT(ISNUMBER(tblSOW9[[#This Row],[External Expenses/Revenues USD]]))),"Please Enter External Expenses",
"")))</f>
        <v/>
      </c>
      <c r="X9" s="67">
        <f>SUM(tblSOW9[[#This Row],[Jan 2023 USD]:[Dec 2023 USD]])</f>
        <v>19242.865272230494</v>
      </c>
      <c r="Y9" s="74">
        <f>tblSOW9[[#This Row],[FTE Cost]]*tblSOW9[[#This Row],[% work on project]]*AK9/12+tblSOW9[[#This Row],[Task Cost]]*AW9+tblSOW9[[#This Row],[External Expenses/Revenues USD]]*BI9/tblSOW9[[#This Row],[Duration]]</f>
        <v>1603.5721060192075</v>
      </c>
      <c r="Z9" s="74">
        <f>tblSOW9[[#This Row],[FTE Cost]]*tblSOW9[[#This Row],[% work on project]]*AL9/12+tblSOW9[[#This Row],[Task Cost]]*AX9+tblSOW9[[#This Row],[External Expenses/Revenues USD]]*BJ9/tblSOW9[[#This Row],[Duration]]</f>
        <v>1603.5721060192075</v>
      </c>
      <c r="AA9" s="74">
        <f>tblSOW9[[#This Row],[FTE Cost]]*tblSOW9[[#This Row],[% work on project]]*AM9/12+tblSOW9[[#This Row],[Task Cost]]*AY9+tblSOW9[[#This Row],[External Expenses/Revenues USD]]*BK9/tblSOW9[[#This Row],[Duration]]</f>
        <v>1603.5721060192075</v>
      </c>
      <c r="AB9" s="74">
        <f>tblSOW9[[#This Row],[FTE Cost]]*tblSOW9[[#This Row],[% work on project]]*AN9/12+tblSOW9[[#This Row],[Task Cost]]*AZ9+tblSOW9[[#This Row],[External Expenses/Revenues USD]]*BL9/tblSOW9[[#This Row],[Duration]]</f>
        <v>1603.5721060192075</v>
      </c>
      <c r="AC9" s="74">
        <f>tblSOW9[[#This Row],[FTE Cost]]*tblSOW9[[#This Row],[% work on project]]*AO9/12+tblSOW9[[#This Row],[Task Cost]]*BA9+tblSOW9[[#This Row],[External Expenses/Revenues USD]]*BM9/tblSOW9[[#This Row],[Duration]]</f>
        <v>1603.5721060192075</v>
      </c>
      <c r="AD9" s="74">
        <f>tblSOW9[[#This Row],[FTE Cost]]*tblSOW9[[#This Row],[% work on project]]*AP9/12+tblSOW9[[#This Row],[Task Cost]]*BB9+tblSOW9[[#This Row],[External Expenses/Revenues USD]]*BN9/tblSOW9[[#This Row],[Duration]]</f>
        <v>1603.5721060192075</v>
      </c>
      <c r="AE9" s="74">
        <f>tblSOW9[[#This Row],[FTE Cost]]*tblSOW9[[#This Row],[% work on project]]*AQ9/12+tblSOW9[[#This Row],[Task Cost]]*BC9+tblSOW9[[#This Row],[External Expenses/Revenues USD]]*BO9/tblSOW9[[#This Row],[Duration]]</f>
        <v>1603.5721060192075</v>
      </c>
      <c r="AF9" s="74">
        <f>tblSOW9[[#This Row],[FTE Cost]]*tblSOW9[[#This Row],[% work on project]]*AR9/12+tblSOW9[[#This Row],[Task Cost]]*BD9+tblSOW9[[#This Row],[External Expenses/Revenues USD]]*BP9/tblSOW9[[#This Row],[Duration]]</f>
        <v>1603.5721060192075</v>
      </c>
      <c r="AG9" s="74">
        <f>tblSOW9[[#This Row],[FTE Cost]]*tblSOW9[[#This Row],[% work on project]]*AS9/12+tblSOW9[[#This Row],[Task Cost]]*BE9+tblSOW9[[#This Row],[External Expenses/Revenues USD]]*BQ9/tblSOW9[[#This Row],[Duration]]</f>
        <v>1603.5721060192075</v>
      </c>
      <c r="AH9" s="74">
        <f>tblSOW9[[#This Row],[FTE Cost]]*tblSOW9[[#This Row],[% work on project]]*AT9/12+tblSOW9[[#This Row],[Task Cost]]*BF9+tblSOW9[[#This Row],[External Expenses/Revenues USD]]*BR9/tblSOW9[[#This Row],[Duration]]</f>
        <v>1603.5721060192075</v>
      </c>
      <c r="AI9" s="74">
        <f>tblSOW9[[#This Row],[FTE Cost]]*tblSOW9[[#This Row],[% work on project]]*AU9/12+tblSOW9[[#This Row],[Task Cost]]*BG9+tblSOW9[[#This Row],[External Expenses/Revenues USD]]*BS9/tblSOW9[[#This Row],[Duration]]</f>
        <v>1603.5721060192075</v>
      </c>
      <c r="AJ9" s="74">
        <f>tblSOW9[[#This Row],[FTE Cost]]*tblSOW9[[#This Row],[% work on project]]*AV9/12+tblSOW9[[#This Row],[Task Cost]]*BH9+tblSOW9[[#This Row],[External Expenses/Revenues USD]]*BT9/tblSOW9[[#This Row],[Duration]]</f>
        <v>1603.5721060192075</v>
      </c>
      <c r="AK9" s="74">
        <f t="shared" ref="AK9:AV22" si="4">$S9/$BU9*BI9</f>
        <v>1</v>
      </c>
      <c r="AL9" s="74">
        <f t="shared" si="4"/>
        <v>1</v>
      </c>
      <c r="AM9" s="74">
        <f t="shared" si="4"/>
        <v>1</v>
      </c>
      <c r="AN9" s="74">
        <f t="shared" si="4"/>
        <v>1</v>
      </c>
      <c r="AO9" s="74">
        <f t="shared" si="4"/>
        <v>1</v>
      </c>
      <c r="AP9" s="74">
        <f t="shared" si="4"/>
        <v>1</v>
      </c>
      <c r="AQ9" s="74">
        <f t="shared" si="4"/>
        <v>1</v>
      </c>
      <c r="AR9" s="74">
        <f t="shared" si="4"/>
        <v>1</v>
      </c>
      <c r="AS9" s="74">
        <f t="shared" si="4"/>
        <v>1</v>
      </c>
      <c r="AT9" s="74">
        <f t="shared" si="4"/>
        <v>1</v>
      </c>
      <c r="AU9" s="74">
        <f t="shared" si="4"/>
        <v>1</v>
      </c>
      <c r="AV9" s="74">
        <f t="shared" si="4"/>
        <v>1</v>
      </c>
      <c r="AW9" s="74">
        <f t="shared" ref="AW9:BH22" si="5">$U9/$BU9*BI9</f>
        <v>2.0833333333333335</v>
      </c>
      <c r="AX9" s="74">
        <f t="shared" si="5"/>
        <v>2.0833333333333335</v>
      </c>
      <c r="AY9" s="74">
        <f t="shared" si="5"/>
        <v>2.0833333333333335</v>
      </c>
      <c r="AZ9" s="74">
        <f t="shared" si="5"/>
        <v>2.0833333333333335</v>
      </c>
      <c r="BA9" s="74">
        <f t="shared" si="5"/>
        <v>2.0833333333333335</v>
      </c>
      <c r="BB9" s="74">
        <f t="shared" si="5"/>
        <v>2.0833333333333335</v>
      </c>
      <c r="BC9" s="74">
        <f t="shared" si="5"/>
        <v>2.0833333333333335</v>
      </c>
      <c r="BD9" s="74">
        <f t="shared" si="5"/>
        <v>2.0833333333333335</v>
      </c>
      <c r="BE9" s="74">
        <f t="shared" si="5"/>
        <v>2.0833333333333335</v>
      </c>
      <c r="BF9" s="74">
        <f t="shared" si="5"/>
        <v>2.0833333333333335</v>
      </c>
      <c r="BG9" s="74">
        <f t="shared" si="5"/>
        <v>2.0833333333333335</v>
      </c>
      <c r="BH9" s="74">
        <f t="shared" si="5"/>
        <v>2.0833333333333335</v>
      </c>
      <c r="BI9" s="74">
        <f t="shared" ref="BI9:BT22" si="6">IF($S9&gt;0,IF(AND(MONTH($P9)&lt;=BI$1,MONTH($Q9)&gt;=BI$1),1,0),0)</f>
        <v>1</v>
      </c>
      <c r="BJ9" s="74">
        <f t="shared" si="6"/>
        <v>1</v>
      </c>
      <c r="BK9" s="74">
        <f t="shared" si="6"/>
        <v>1</v>
      </c>
      <c r="BL9" s="74">
        <f t="shared" si="6"/>
        <v>1</v>
      </c>
      <c r="BM9" s="74">
        <f t="shared" si="6"/>
        <v>1</v>
      </c>
      <c r="BN9" s="74">
        <f t="shared" si="6"/>
        <v>1</v>
      </c>
      <c r="BO9" s="74">
        <f t="shared" si="6"/>
        <v>1</v>
      </c>
      <c r="BP9" s="74">
        <f t="shared" si="6"/>
        <v>1</v>
      </c>
      <c r="BQ9" s="74">
        <f t="shared" si="6"/>
        <v>1</v>
      </c>
      <c r="BR9" s="74">
        <f t="shared" si="6"/>
        <v>1</v>
      </c>
      <c r="BS9" s="74">
        <f t="shared" si="6"/>
        <v>1</v>
      </c>
      <c r="BT9" s="74">
        <f t="shared" si="6"/>
        <v>1</v>
      </c>
      <c r="BU9" s="74">
        <f>SUM(tblSOW9[[#This Row],[P1]:[P12]])</f>
        <v>12</v>
      </c>
      <c r="BV9" s="74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9" s="74">
        <f>IFERROR(VLOOKUP(K9,[32]Parameters!BN:BW,10,0),0)</f>
        <v>769.71461088921956</v>
      </c>
    </row>
    <row r="10" spans="1:79" s="75" customFormat="1">
      <c r="A10" s="67" t="str">
        <f>CONCATENATE(INDEX([32]Parameters!$U$1:$V$20,MATCH(C10,[32]Parameters!$V$1:$V$20,0),1),"/",VLOOKUP(D10,[32]Parameters!$CG$1:$CH$12,2,0),".",E10,".",H10,".",LEFT(J10,3),"-",LEFT(K10,4))</f>
        <v>B80/20.P274.405.950-T103</v>
      </c>
      <c r="B10" s="67" t="s">
        <v>111</v>
      </c>
      <c r="C10" s="67" t="s">
        <v>164</v>
      </c>
      <c r="D10" s="39" t="s">
        <v>95</v>
      </c>
      <c r="E10" s="40" t="str">
        <f>VLOOKUP(F10,[32]Parameters!P:T,4,0)</f>
        <v>P274</v>
      </c>
      <c r="F10" s="39" t="s">
        <v>166</v>
      </c>
      <c r="G10" s="67" t="s">
        <v>125</v>
      </c>
      <c r="H10" s="67">
        <f>INDEX([32]Parameters!$B:$C,MATCH(I10,[32]Parameters!$C:$C,0),1)</f>
        <v>405</v>
      </c>
      <c r="I10" s="68" t="s">
        <v>98</v>
      </c>
      <c r="J10" s="68" t="s">
        <v>94</v>
      </c>
      <c r="K10" s="68" t="s">
        <v>99</v>
      </c>
      <c r="L10" s="68" t="str">
        <f>IFERROR(VLOOKUP(tblSOW9[[#This Row],[Employee name ]],[32]Parameters!CP:CS,4,0),"")</f>
        <v/>
      </c>
      <c r="M10" s="91"/>
      <c r="N10" s="67"/>
      <c r="O10" s="76"/>
      <c r="P10" s="72">
        <v>44927</v>
      </c>
      <c r="Q10" s="72">
        <v>45291</v>
      </c>
      <c r="R10" s="67"/>
      <c r="S10" s="67">
        <f t="shared" si="0"/>
        <v>12</v>
      </c>
      <c r="T10" s="68"/>
      <c r="U10" s="68">
        <v>13</v>
      </c>
      <c r="V10" s="68"/>
      <c r="W10" s="68" t="str">
        <f>IF(AND(ISNUMBER(SEARCH("-T",tblSOW9[[#This Row],[Budget Item]])),NOT(ISNUMBER(tblSOW9[[#This Row],[Task Units]]))),"Please Enter Task Units",
IF(AND(ISNUMBER(SEARCH("-E000",tblSOW9[[#This Row],[Budget Item]])),NOT(ISNUMBER(tblSOW9[[#This Row],[% work on project]]))),"Please Enter Organic FTE",
IF(AND(ISNUMBER(SEARCH("-E999",tblSOW9[[#This Row],[Budget Item]])),NOT(ISNUMBER(tblSOW9[[#This Row],[External Expenses/Revenues USD]]))),"Please Enter External Expenses",
"")))</f>
        <v/>
      </c>
      <c r="X10" s="67">
        <f>SUM(tblSOW9[[#This Row],[Jan 2023 USD]:[Dec 2023 USD]])</f>
        <v>10332.952132445367</v>
      </c>
      <c r="Y10" s="74">
        <f>tblSOW9[[#This Row],[FTE Cost]]*tblSOW9[[#This Row],[% work on project]]*AK10/12+tblSOW9[[#This Row],[Task Cost]]*AW10+tblSOW9[[#This Row],[External Expenses/Revenues USD]]*BI10/tblSOW9[[#This Row],[Duration]]</f>
        <v>861.07934437044719</v>
      </c>
      <c r="Z10" s="74">
        <f>tblSOW9[[#This Row],[FTE Cost]]*tblSOW9[[#This Row],[% work on project]]*AL10/12+tblSOW9[[#This Row],[Task Cost]]*AX10+tblSOW9[[#This Row],[External Expenses/Revenues USD]]*BJ10/tblSOW9[[#This Row],[Duration]]</f>
        <v>861.07934437044719</v>
      </c>
      <c r="AA10" s="74">
        <f>tblSOW9[[#This Row],[FTE Cost]]*tblSOW9[[#This Row],[% work on project]]*AM10/12+tblSOW9[[#This Row],[Task Cost]]*AY10+tblSOW9[[#This Row],[External Expenses/Revenues USD]]*BK10/tblSOW9[[#This Row],[Duration]]</f>
        <v>861.07934437044719</v>
      </c>
      <c r="AB10" s="74">
        <f>tblSOW9[[#This Row],[FTE Cost]]*tblSOW9[[#This Row],[% work on project]]*AN10/12+tblSOW9[[#This Row],[Task Cost]]*AZ10+tblSOW9[[#This Row],[External Expenses/Revenues USD]]*BL10/tblSOW9[[#This Row],[Duration]]</f>
        <v>861.07934437044719</v>
      </c>
      <c r="AC10" s="74">
        <f>tblSOW9[[#This Row],[FTE Cost]]*tblSOW9[[#This Row],[% work on project]]*AO10/12+tblSOW9[[#This Row],[Task Cost]]*BA10+tblSOW9[[#This Row],[External Expenses/Revenues USD]]*BM10/tblSOW9[[#This Row],[Duration]]</f>
        <v>861.07934437044719</v>
      </c>
      <c r="AD10" s="74">
        <f>tblSOW9[[#This Row],[FTE Cost]]*tblSOW9[[#This Row],[% work on project]]*AP10/12+tblSOW9[[#This Row],[Task Cost]]*BB10+tblSOW9[[#This Row],[External Expenses/Revenues USD]]*BN10/tblSOW9[[#This Row],[Duration]]</f>
        <v>861.07934437044719</v>
      </c>
      <c r="AE10" s="74">
        <f>tblSOW9[[#This Row],[FTE Cost]]*tblSOW9[[#This Row],[% work on project]]*AQ10/12+tblSOW9[[#This Row],[Task Cost]]*BC10+tblSOW9[[#This Row],[External Expenses/Revenues USD]]*BO10/tblSOW9[[#This Row],[Duration]]</f>
        <v>861.07934437044719</v>
      </c>
      <c r="AF10" s="74">
        <f>tblSOW9[[#This Row],[FTE Cost]]*tblSOW9[[#This Row],[% work on project]]*AR10/12+tblSOW9[[#This Row],[Task Cost]]*BD10+tblSOW9[[#This Row],[External Expenses/Revenues USD]]*BP10/tblSOW9[[#This Row],[Duration]]</f>
        <v>861.07934437044719</v>
      </c>
      <c r="AG10" s="74">
        <f>tblSOW9[[#This Row],[FTE Cost]]*tblSOW9[[#This Row],[% work on project]]*AS10/12+tblSOW9[[#This Row],[Task Cost]]*BE10+tblSOW9[[#This Row],[External Expenses/Revenues USD]]*BQ10/tblSOW9[[#This Row],[Duration]]</f>
        <v>861.07934437044719</v>
      </c>
      <c r="AH10" s="74">
        <f>tblSOW9[[#This Row],[FTE Cost]]*tblSOW9[[#This Row],[% work on project]]*AT10/12+tblSOW9[[#This Row],[Task Cost]]*BF10+tblSOW9[[#This Row],[External Expenses/Revenues USD]]*BR10/tblSOW9[[#This Row],[Duration]]</f>
        <v>861.07934437044719</v>
      </c>
      <c r="AI10" s="74">
        <f>tblSOW9[[#This Row],[FTE Cost]]*tblSOW9[[#This Row],[% work on project]]*AU10/12+tblSOW9[[#This Row],[Task Cost]]*BG10+tblSOW9[[#This Row],[External Expenses/Revenues USD]]*BS10/tblSOW9[[#This Row],[Duration]]</f>
        <v>861.07934437044719</v>
      </c>
      <c r="AJ10" s="74">
        <f>tblSOW9[[#This Row],[FTE Cost]]*tblSOW9[[#This Row],[% work on project]]*AV10/12+tblSOW9[[#This Row],[Task Cost]]*BH10+tblSOW9[[#This Row],[External Expenses/Revenues USD]]*BT10/tblSOW9[[#This Row],[Duration]]</f>
        <v>861.07934437044719</v>
      </c>
      <c r="AK10" s="74">
        <f t="shared" si="4"/>
        <v>1</v>
      </c>
      <c r="AL10" s="74">
        <f t="shared" si="4"/>
        <v>1</v>
      </c>
      <c r="AM10" s="74">
        <f t="shared" si="4"/>
        <v>1</v>
      </c>
      <c r="AN10" s="74">
        <f t="shared" si="4"/>
        <v>1</v>
      </c>
      <c r="AO10" s="74">
        <f t="shared" si="4"/>
        <v>1</v>
      </c>
      <c r="AP10" s="74">
        <f t="shared" si="4"/>
        <v>1</v>
      </c>
      <c r="AQ10" s="74">
        <f t="shared" si="4"/>
        <v>1</v>
      </c>
      <c r="AR10" s="74">
        <f t="shared" si="4"/>
        <v>1</v>
      </c>
      <c r="AS10" s="74">
        <f t="shared" si="4"/>
        <v>1</v>
      </c>
      <c r="AT10" s="74">
        <f t="shared" si="4"/>
        <v>1</v>
      </c>
      <c r="AU10" s="74">
        <f t="shared" si="4"/>
        <v>1</v>
      </c>
      <c r="AV10" s="74">
        <f t="shared" si="4"/>
        <v>1</v>
      </c>
      <c r="AW10" s="74">
        <f t="shared" si="5"/>
        <v>1.0833333333333333</v>
      </c>
      <c r="AX10" s="74">
        <f t="shared" si="5"/>
        <v>1.0833333333333333</v>
      </c>
      <c r="AY10" s="74">
        <f t="shared" si="5"/>
        <v>1.0833333333333333</v>
      </c>
      <c r="AZ10" s="74">
        <f t="shared" si="5"/>
        <v>1.0833333333333333</v>
      </c>
      <c r="BA10" s="74">
        <f t="shared" si="5"/>
        <v>1.0833333333333333</v>
      </c>
      <c r="BB10" s="74">
        <f t="shared" si="5"/>
        <v>1.0833333333333333</v>
      </c>
      <c r="BC10" s="74">
        <f t="shared" si="5"/>
        <v>1.0833333333333333</v>
      </c>
      <c r="BD10" s="74">
        <f t="shared" si="5"/>
        <v>1.0833333333333333</v>
      </c>
      <c r="BE10" s="74">
        <f t="shared" si="5"/>
        <v>1.0833333333333333</v>
      </c>
      <c r="BF10" s="74">
        <f t="shared" si="5"/>
        <v>1.0833333333333333</v>
      </c>
      <c r="BG10" s="74">
        <f t="shared" si="5"/>
        <v>1.0833333333333333</v>
      </c>
      <c r="BH10" s="74">
        <f t="shared" si="5"/>
        <v>1.0833333333333333</v>
      </c>
      <c r="BI10" s="74">
        <f t="shared" si="6"/>
        <v>1</v>
      </c>
      <c r="BJ10" s="74">
        <f t="shared" si="6"/>
        <v>1</v>
      </c>
      <c r="BK10" s="74">
        <f t="shared" si="6"/>
        <v>1</v>
      </c>
      <c r="BL10" s="74">
        <f t="shared" si="6"/>
        <v>1</v>
      </c>
      <c r="BM10" s="74">
        <f t="shared" si="6"/>
        <v>1</v>
      </c>
      <c r="BN10" s="74">
        <f t="shared" si="6"/>
        <v>1</v>
      </c>
      <c r="BO10" s="74">
        <f t="shared" si="6"/>
        <v>1</v>
      </c>
      <c r="BP10" s="74">
        <f t="shared" si="6"/>
        <v>1</v>
      </c>
      <c r="BQ10" s="74">
        <f t="shared" si="6"/>
        <v>1</v>
      </c>
      <c r="BR10" s="74">
        <f t="shared" si="6"/>
        <v>1</v>
      </c>
      <c r="BS10" s="74">
        <f t="shared" si="6"/>
        <v>1</v>
      </c>
      <c r="BT10" s="74">
        <f t="shared" si="6"/>
        <v>1</v>
      </c>
      <c r="BU10" s="74">
        <f>SUM(tblSOW9[[#This Row],[P1]:[P12]])</f>
        <v>12</v>
      </c>
      <c r="BV10" s="74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10" s="74">
        <f>IFERROR(VLOOKUP(K10,[32]Parameters!BN:BW,10,0),0)</f>
        <v>794.84247172656671</v>
      </c>
    </row>
    <row r="11" spans="1:79" s="75" customFormat="1">
      <c r="A11" s="67" t="str">
        <f>CONCATENATE(INDEX([32]Parameters!$U$1:$V$20,MATCH(C11,[32]Parameters!$V$1:$V$20,0),1),"/",VLOOKUP(D11,[32]Parameters!$CG$1:$CH$12,2,0),".",E11,".",H11,".",LEFT(J11,3),"-",LEFT(K11,4))</f>
        <v>B80/20.P274.406.950-T112</v>
      </c>
      <c r="B11" s="67" t="s">
        <v>111</v>
      </c>
      <c r="C11" s="67" t="s">
        <v>164</v>
      </c>
      <c r="D11" s="39" t="s">
        <v>95</v>
      </c>
      <c r="E11" s="40" t="str">
        <f>VLOOKUP(F11,[32]Parameters!P:T,4,0)</f>
        <v>P274</v>
      </c>
      <c r="F11" s="39" t="s">
        <v>166</v>
      </c>
      <c r="G11" s="67" t="s">
        <v>125</v>
      </c>
      <c r="H11" s="67">
        <f>INDEX([32]Parameters!$B:$C,MATCH(I11,[32]Parameters!$C:$C,0),1)</f>
        <v>406</v>
      </c>
      <c r="I11" s="68" t="s">
        <v>106</v>
      </c>
      <c r="J11" s="68" t="s">
        <v>94</v>
      </c>
      <c r="K11" s="68" t="s">
        <v>107</v>
      </c>
      <c r="L11" s="68" t="str">
        <f>IFERROR(VLOOKUP(tblSOW9[[#This Row],[Employee name ]],[32]Parameters!CP:CS,4,0),"")</f>
        <v/>
      </c>
      <c r="M11" s="91"/>
      <c r="N11" s="67"/>
      <c r="O11" s="76"/>
      <c r="P11" s="72">
        <v>44927</v>
      </c>
      <c r="Q11" s="72">
        <v>45291</v>
      </c>
      <c r="R11" s="67"/>
      <c r="S11" s="67">
        <f t="shared" si="0"/>
        <v>12</v>
      </c>
      <c r="T11" s="68"/>
      <c r="U11" s="68">
        <v>42</v>
      </c>
      <c r="V11" s="68"/>
      <c r="W11" s="68" t="str">
        <f>IF(AND(ISNUMBER(SEARCH("-T",tblSOW9[[#This Row],[Budget Item]])),NOT(ISNUMBER(tblSOW9[[#This Row],[Task Units]]))),"Please Enter Task Units",
IF(AND(ISNUMBER(SEARCH("-E000",tblSOW9[[#This Row],[Budget Item]])),NOT(ISNUMBER(tblSOW9[[#This Row],[% work on project]]))),"Please Enter Organic FTE",
IF(AND(ISNUMBER(SEARCH("-E999",tblSOW9[[#This Row],[Budget Item]])),NOT(ISNUMBER(tblSOW9[[#This Row],[External Expenses/Revenues USD]]))),"Please Enter External Expenses",
"")))</f>
        <v/>
      </c>
      <c r="X11" s="67">
        <f>SUM(tblSOW9[[#This Row],[Jan 2023 USD]:[Dec 2023 USD]])</f>
        <v>39873.519086820888</v>
      </c>
      <c r="Y11" s="74">
        <f>tblSOW9[[#This Row],[FTE Cost]]*tblSOW9[[#This Row],[% work on project]]*AK11/12+tblSOW9[[#This Row],[Task Cost]]*AW11+tblSOW9[[#This Row],[External Expenses/Revenues USD]]*BI11/tblSOW9[[#This Row],[Duration]]</f>
        <v>3322.7932572350733</v>
      </c>
      <c r="Z11" s="74">
        <f>tblSOW9[[#This Row],[FTE Cost]]*tblSOW9[[#This Row],[% work on project]]*AL11/12+tblSOW9[[#This Row],[Task Cost]]*AX11+tblSOW9[[#This Row],[External Expenses/Revenues USD]]*BJ11/tblSOW9[[#This Row],[Duration]]</f>
        <v>3322.7932572350733</v>
      </c>
      <c r="AA11" s="74">
        <f>tblSOW9[[#This Row],[FTE Cost]]*tblSOW9[[#This Row],[% work on project]]*AM11/12+tblSOW9[[#This Row],[Task Cost]]*AY11+tblSOW9[[#This Row],[External Expenses/Revenues USD]]*BK11/tblSOW9[[#This Row],[Duration]]</f>
        <v>3322.7932572350733</v>
      </c>
      <c r="AB11" s="74">
        <f>tblSOW9[[#This Row],[FTE Cost]]*tblSOW9[[#This Row],[% work on project]]*AN11/12+tblSOW9[[#This Row],[Task Cost]]*AZ11+tblSOW9[[#This Row],[External Expenses/Revenues USD]]*BL11/tblSOW9[[#This Row],[Duration]]</f>
        <v>3322.7932572350733</v>
      </c>
      <c r="AC11" s="74">
        <f>tblSOW9[[#This Row],[FTE Cost]]*tblSOW9[[#This Row],[% work on project]]*AO11/12+tblSOW9[[#This Row],[Task Cost]]*BA11+tblSOW9[[#This Row],[External Expenses/Revenues USD]]*BM11/tblSOW9[[#This Row],[Duration]]</f>
        <v>3322.7932572350733</v>
      </c>
      <c r="AD11" s="74">
        <f>tblSOW9[[#This Row],[FTE Cost]]*tblSOW9[[#This Row],[% work on project]]*AP11/12+tblSOW9[[#This Row],[Task Cost]]*BB11+tblSOW9[[#This Row],[External Expenses/Revenues USD]]*BN11/tblSOW9[[#This Row],[Duration]]</f>
        <v>3322.7932572350733</v>
      </c>
      <c r="AE11" s="74">
        <f>tblSOW9[[#This Row],[FTE Cost]]*tblSOW9[[#This Row],[% work on project]]*AQ11/12+tblSOW9[[#This Row],[Task Cost]]*BC11+tblSOW9[[#This Row],[External Expenses/Revenues USD]]*BO11/tblSOW9[[#This Row],[Duration]]</f>
        <v>3322.7932572350733</v>
      </c>
      <c r="AF11" s="74">
        <f>tblSOW9[[#This Row],[FTE Cost]]*tblSOW9[[#This Row],[% work on project]]*AR11/12+tblSOW9[[#This Row],[Task Cost]]*BD11+tblSOW9[[#This Row],[External Expenses/Revenues USD]]*BP11/tblSOW9[[#This Row],[Duration]]</f>
        <v>3322.7932572350733</v>
      </c>
      <c r="AG11" s="74">
        <f>tblSOW9[[#This Row],[FTE Cost]]*tblSOW9[[#This Row],[% work on project]]*AS11/12+tblSOW9[[#This Row],[Task Cost]]*BE11+tblSOW9[[#This Row],[External Expenses/Revenues USD]]*BQ11/tblSOW9[[#This Row],[Duration]]</f>
        <v>3322.7932572350733</v>
      </c>
      <c r="AH11" s="74">
        <f>tblSOW9[[#This Row],[FTE Cost]]*tblSOW9[[#This Row],[% work on project]]*AT11/12+tblSOW9[[#This Row],[Task Cost]]*BF11+tblSOW9[[#This Row],[External Expenses/Revenues USD]]*BR11/tblSOW9[[#This Row],[Duration]]</f>
        <v>3322.7932572350733</v>
      </c>
      <c r="AI11" s="74">
        <f>tblSOW9[[#This Row],[FTE Cost]]*tblSOW9[[#This Row],[% work on project]]*AU11/12+tblSOW9[[#This Row],[Task Cost]]*BG11+tblSOW9[[#This Row],[External Expenses/Revenues USD]]*BS11/tblSOW9[[#This Row],[Duration]]</f>
        <v>3322.7932572350733</v>
      </c>
      <c r="AJ11" s="74">
        <f>tblSOW9[[#This Row],[FTE Cost]]*tblSOW9[[#This Row],[% work on project]]*AV11/12+tblSOW9[[#This Row],[Task Cost]]*BH11+tblSOW9[[#This Row],[External Expenses/Revenues USD]]*BT11/tblSOW9[[#This Row],[Duration]]</f>
        <v>3322.7932572350733</v>
      </c>
      <c r="AK11" s="74">
        <f t="shared" si="4"/>
        <v>1</v>
      </c>
      <c r="AL11" s="74">
        <f t="shared" si="4"/>
        <v>1</v>
      </c>
      <c r="AM11" s="74">
        <f t="shared" si="4"/>
        <v>1</v>
      </c>
      <c r="AN11" s="74">
        <f t="shared" si="4"/>
        <v>1</v>
      </c>
      <c r="AO11" s="74">
        <f t="shared" si="4"/>
        <v>1</v>
      </c>
      <c r="AP11" s="74">
        <f t="shared" si="4"/>
        <v>1</v>
      </c>
      <c r="AQ11" s="74">
        <f t="shared" si="4"/>
        <v>1</v>
      </c>
      <c r="AR11" s="74">
        <f t="shared" si="4"/>
        <v>1</v>
      </c>
      <c r="AS11" s="74">
        <f t="shared" si="4"/>
        <v>1</v>
      </c>
      <c r="AT11" s="74">
        <f t="shared" si="4"/>
        <v>1</v>
      </c>
      <c r="AU11" s="74">
        <f t="shared" si="4"/>
        <v>1</v>
      </c>
      <c r="AV11" s="74">
        <f t="shared" si="4"/>
        <v>1</v>
      </c>
      <c r="AW11" s="74">
        <f t="shared" si="5"/>
        <v>3.5</v>
      </c>
      <c r="AX11" s="74">
        <f t="shared" si="5"/>
        <v>3.5</v>
      </c>
      <c r="AY11" s="74">
        <f t="shared" si="5"/>
        <v>3.5</v>
      </c>
      <c r="AZ11" s="74">
        <f t="shared" si="5"/>
        <v>3.5</v>
      </c>
      <c r="BA11" s="74">
        <f t="shared" si="5"/>
        <v>3.5</v>
      </c>
      <c r="BB11" s="74">
        <f t="shared" si="5"/>
        <v>3.5</v>
      </c>
      <c r="BC11" s="74">
        <f t="shared" si="5"/>
        <v>3.5</v>
      </c>
      <c r="BD11" s="74">
        <f t="shared" si="5"/>
        <v>3.5</v>
      </c>
      <c r="BE11" s="74">
        <f t="shared" si="5"/>
        <v>3.5</v>
      </c>
      <c r="BF11" s="74">
        <f t="shared" si="5"/>
        <v>3.5</v>
      </c>
      <c r="BG11" s="74">
        <f t="shared" si="5"/>
        <v>3.5</v>
      </c>
      <c r="BH11" s="74">
        <f t="shared" si="5"/>
        <v>3.5</v>
      </c>
      <c r="BI11" s="74">
        <f t="shared" si="6"/>
        <v>1</v>
      </c>
      <c r="BJ11" s="74">
        <f t="shared" si="6"/>
        <v>1</v>
      </c>
      <c r="BK11" s="74">
        <f t="shared" si="6"/>
        <v>1</v>
      </c>
      <c r="BL11" s="74">
        <f t="shared" si="6"/>
        <v>1</v>
      </c>
      <c r="BM11" s="74">
        <f t="shared" si="6"/>
        <v>1</v>
      </c>
      <c r="BN11" s="74">
        <f t="shared" si="6"/>
        <v>1</v>
      </c>
      <c r="BO11" s="74">
        <f t="shared" si="6"/>
        <v>1</v>
      </c>
      <c r="BP11" s="74">
        <f t="shared" si="6"/>
        <v>1</v>
      </c>
      <c r="BQ11" s="74">
        <f t="shared" si="6"/>
        <v>1</v>
      </c>
      <c r="BR11" s="74">
        <f t="shared" si="6"/>
        <v>1</v>
      </c>
      <c r="BS11" s="74">
        <f t="shared" si="6"/>
        <v>1</v>
      </c>
      <c r="BT11" s="74">
        <f t="shared" si="6"/>
        <v>1</v>
      </c>
      <c r="BU11" s="74">
        <f>SUM(tblSOW9[[#This Row],[P1]:[P12]])</f>
        <v>12</v>
      </c>
      <c r="BV11" s="74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11" s="74">
        <f>IFERROR(VLOOKUP(K11,[32]Parameters!BN:BW,10,0),0)</f>
        <v>949.36950206716381</v>
      </c>
    </row>
    <row r="12" spans="1:79" s="75" customFormat="1">
      <c r="A12" s="67" t="str">
        <f>CONCATENATE(INDEX([32]Parameters!$U$1:$V$20,MATCH(C12,[32]Parameters!$V$1:$V$20,0),1),"/",VLOOKUP(D12,[32]Parameters!$CG$1:$CH$12,2,0),".",E12,".",H12,".",LEFT(J12,3),"-",LEFT(K12,4))</f>
        <v>B80/20.P274.420.950-T105</v>
      </c>
      <c r="B12" s="67" t="s">
        <v>111</v>
      </c>
      <c r="C12" s="67" t="s">
        <v>164</v>
      </c>
      <c r="D12" s="39" t="s">
        <v>95</v>
      </c>
      <c r="E12" s="40" t="str">
        <f>VLOOKUP(F12,[32]Parameters!P:T,4,0)</f>
        <v>P274</v>
      </c>
      <c r="F12" s="39" t="s">
        <v>166</v>
      </c>
      <c r="G12" s="67" t="s">
        <v>125</v>
      </c>
      <c r="H12" s="67">
        <f>INDEX([32]Parameters!$B:$C,MATCH(I12,[32]Parameters!$C:$C,0),1)</f>
        <v>420</v>
      </c>
      <c r="I12" s="68" t="s">
        <v>113</v>
      </c>
      <c r="J12" s="68" t="s">
        <v>94</v>
      </c>
      <c r="K12" s="68" t="s">
        <v>122</v>
      </c>
      <c r="L12" s="68" t="str">
        <f>IFERROR(VLOOKUP(tblSOW9[[#This Row],[Employee name ]],[32]Parameters!CP:CS,4,0),"")</f>
        <v/>
      </c>
      <c r="M12" s="91"/>
      <c r="N12" s="67"/>
      <c r="O12" s="76"/>
      <c r="P12" s="72">
        <v>44927</v>
      </c>
      <c r="Q12" s="72">
        <v>45291</v>
      </c>
      <c r="R12" s="67"/>
      <c r="S12" s="67">
        <f t="shared" si="0"/>
        <v>12</v>
      </c>
      <c r="T12" s="68"/>
      <c r="U12" s="68">
        <v>2</v>
      </c>
      <c r="V12" s="68"/>
      <c r="W12" s="68" t="str">
        <f>IF(AND(ISNUMBER(SEARCH("-T",tblSOW9[[#This Row],[Budget Item]])),NOT(ISNUMBER(tblSOW9[[#This Row],[Task Units]]))),"Please Enter Task Units",
IF(AND(ISNUMBER(SEARCH("-E000",tblSOW9[[#This Row],[Budget Item]])),NOT(ISNUMBER(tblSOW9[[#This Row],[% work on project]]))),"Please Enter Organic FTE",
IF(AND(ISNUMBER(SEARCH("-E999",tblSOW9[[#This Row],[Budget Item]])),NOT(ISNUMBER(tblSOW9[[#This Row],[External Expenses/Revenues USD]]))),"Please Enter External Expenses",
"")))</f>
        <v/>
      </c>
      <c r="X12" s="67">
        <f>SUM(tblSOW9[[#This Row],[Jan 2023 USD]:[Dec 2023 USD]])</f>
        <v>1999.7682365444025</v>
      </c>
      <c r="Y12" s="74">
        <f>tblSOW9[[#This Row],[FTE Cost]]*tblSOW9[[#This Row],[% work on project]]*AK12/12+tblSOW9[[#This Row],[Task Cost]]*AW12+tblSOW9[[#This Row],[External Expenses/Revenues USD]]*BI12/tblSOW9[[#This Row],[Duration]]</f>
        <v>166.64735304536691</v>
      </c>
      <c r="Z12" s="74">
        <f>tblSOW9[[#This Row],[FTE Cost]]*tblSOW9[[#This Row],[% work on project]]*AL12/12+tblSOW9[[#This Row],[Task Cost]]*AX12+tblSOW9[[#This Row],[External Expenses/Revenues USD]]*BJ12/tblSOW9[[#This Row],[Duration]]</f>
        <v>166.64735304536691</v>
      </c>
      <c r="AA12" s="74">
        <f>tblSOW9[[#This Row],[FTE Cost]]*tblSOW9[[#This Row],[% work on project]]*AM12/12+tblSOW9[[#This Row],[Task Cost]]*AY12+tblSOW9[[#This Row],[External Expenses/Revenues USD]]*BK12/tblSOW9[[#This Row],[Duration]]</f>
        <v>166.64735304536691</v>
      </c>
      <c r="AB12" s="74">
        <f>tblSOW9[[#This Row],[FTE Cost]]*tblSOW9[[#This Row],[% work on project]]*AN12/12+tblSOW9[[#This Row],[Task Cost]]*AZ12+tblSOW9[[#This Row],[External Expenses/Revenues USD]]*BL12/tblSOW9[[#This Row],[Duration]]</f>
        <v>166.64735304536691</v>
      </c>
      <c r="AC12" s="74">
        <f>tblSOW9[[#This Row],[FTE Cost]]*tblSOW9[[#This Row],[% work on project]]*AO12/12+tblSOW9[[#This Row],[Task Cost]]*BA12+tblSOW9[[#This Row],[External Expenses/Revenues USD]]*BM12/tblSOW9[[#This Row],[Duration]]</f>
        <v>166.64735304536691</v>
      </c>
      <c r="AD12" s="74">
        <f>tblSOW9[[#This Row],[FTE Cost]]*tblSOW9[[#This Row],[% work on project]]*AP12/12+tblSOW9[[#This Row],[Task Cost]]*BB12+tblSOW9[[#This Row],[External Expenses/Revenues USD]]*BN12/tblSOW9[[#This Row],[Duration]]</f>
        <v>166.64735304536691</v>
      </c>
      <c r="AE12" s="74">
        <f>tblSOW9[[#This Row],[FTE Cost]]*tblSOW9[[#This Row],[% work on project]]*AQ12/12+tblSOW9[[#This Row],[Task Cost]]*BC12+tblSOW9[[#This Row],[External Expenses/Revenues USD]]*BO12/tblSOW9[[#This Row],[Duration]]</f>
        <v>166.64735304536691</v>
      </c>
      <c r="AF12" s="74">
        <f>tblSOW9[[#This Row],[FTE Cost]]*tblSOW9[[#This Row],[% work on project]]*AR12/12+tblSOW9[[#This Row],[Task Cost]]*BD12+tblSOW9[[#This Row],[External Expenses/Revenues USD]]*BP12/tblSOW9[[#This Row],[Duration]]</f>
        <v>166.64735304536691</v>
      </c>
      <c r="AG12" s="74">
        <f>tblSOW9[[#This Row],[FTE Cost]]*tblSOW9[[#This Row],[% work on project]]*AS12/12+tblSOW9[[#This Row],[Task Cost]]*BE12+tblSOW9[[#This Row],[External Expenses/Revenues USD]]*BQ12/tblSOW9[[#This Row],[Duration]]</f>
        <v>166.64735304536691</v>
      </c>
      <c r="AH12" s="74">
        <f>tblSOW9[[#This Row],[FTE Cost]]*tblSOW9[[#This Row],[% work on project]]*AT12/12+tblSOW9[[#This Row],[Task Cost]]*BF12+tblSOW9[[#This Row],[External Expenses/Revenues USD]]*BR12/tblSOW9[[#This Row],[Duration]]</f>
        <v>166.64735304536691</v>
      </c>
      <c r="AI12" s="74">
        <f>tblSOW9[[#This Row],[FTE Cost]]*tblSOW9[[#This Row],[% work on project]]*AU12/12+tblSOW9[[#This Row],[Task Cost]]*BG12+tblSOW9[[#This Row],[External Expenses/Revenues USD]]*BS12/tblSOW9[[#This Row],[Duration]]</f>
        <v>166.64735304536691</v>
      </c>
      <c r="AJ12" s="74">
        <f>tblSOW9[[#This Row],[FTE Cost]]*tblSOW9[[#This Row],[% work on project]]*AV12/12+tblSOW9[[#This Row],[Task Cost]]*BH12+tblSOW9[[#This Row],[External Expenses/Revenues USD]]*BT12/tblSOW9[[#This Row],[Duration]]</f>
        <v>166.64735304536691</v>
      </c>
      <c r="AK12" s="74">
        <f t="shared" si="4"/>
        <v>1</v>
      </c>
      <c r="AL12" s="74">
        <f t="shared" si="4"/>
        <v>1</v>
      </c>
      <c r="AM12" s="74">
        <f t="shared" si="4"/>
        <v>1</v>
      </c>
      <c r="AN12" s="74">
        <f t="shared" si="4"/>
        <v>1</v>
      </c>
      <c r="AO12" s="74">
        <f t="shared" si="4"/>
        <v>1</v>
      </c>
      <c r="AP12" s="74">
        <f t="shared" si="4"/>
        <v>1</v>
      </c>
      <c r="AQ12" s="74">
        <f t="shared" si="4"/>
        <v>1</v>
      </c>
      <c r="AR12" s="74">
        <f t="shared" si="4"/>
        <v>1</v>
      </c>
      <c r="AS12" s="74">
        <f t="shared" si="4"/>
        <v>1</v>
      </c>
      <c r="AT12" s="74">
        <f t="shared" si="4"/>
        <v>1</v>
      </c>
      <c r="AU12" s="74">
        <f t="shared" si="4"/>
        <v>1</v>
      </c>
      <c r="AV12" s="74">
        <f t="shared" si="4"/>
        <v>1</v>
      </c>
      <c r="AW12" s="74">
        <f t="shared" si="5"/>
        <v>0.16666666666666666</v>
      </c>
      <c r="AX12" s="74">
        <f t="shared" si="5"/>
        <v>0.16666666666666666</v>
      </c>
      <c r="AY12" s="74">
        <f t="shared" si="5"/>
        <v>0.16666666666666666</v>
      </c>
      <c r="AZ12" s="74">
        <f t="shared" si="5"/>
        <v>0.16666666666666666</v>
      </c>
      <c r="BA12" s="74">
        <f t="shared" si="5"/>
        <v>0.16666666666666666</v>
      </c>
      <c r="BB12" s="74">
        <f t="shared" si="5"/>
        <v>0.16666666666666666</v>
      </c>
      <c r="BC12" s="74">
        <f t="shared" si="5"/>
        <v>0.16666666666666666</v>
      </c>
      <c r="BD12" s="74">
        <f t="shared" si="5"/>
        <v>0.16666666666666666</v>
      </c>
      <c r="BE12" s="74">
        <f t="shared" si="5"/>
        <v>0.16666666666666666</v>
      </c>
      <c r="BF12" s="74">
        <f t="shared" si="5"/>
        <v>0.16666666666666666</v>
      </c>
      <c r="BG12" s="74">
        <f t="shared" si="5"/>
        <v>0.16666666666666666</v>
      </c>
      <c r="BH12" s="74">
        <f t="shared" si="5"/>
        <v>0.16666666666666666</v>
      </c>
      <c r="BI12" s="74">
        <f t="shared" si="6"/>
        <v>1</v>
      </c>
      <c r="BJ12" s="74">
        <f t="shared" si="6"/>
        <v>1</v>
      </c>
      <c r="BK12" s="74">
        <f t="shared" si="6"/>
        <v>1</v>
      </c>
      <c r="BL12" s="74">
        <f t="shared" si="6"/>
        <v>1</v>
      </c>
      <c r="BM12" s="74">
        <f t="shared" si="6"/>
        <v>1</v>
      </c>
      <c r="BN12" s="74">
        <f t="shared" si="6"/>
        <v>1</v>
      </c>
      <c r="BO12" s="74">
        <f t="shared" si="6"/>
        <v>1</v>
      </c>
      <c r="BP12" s="74">
        <f t="shared" si="6"/>
        <v>1</v>
      </c>
      <c r="BQ12" s="74">
        <f t="shared" si="6"/>
        <v>1</v>
      </c>
      <c r="BR12" s="74">
        <f t="shared" si="6"/>
        <v>1</v>
      </c>
      <c r="BS12" s="74">
        <f t="shared" si="6"/>
        <v>1</v>
      </c>
      <c r="BT12" s="74">
        <f t="shared" si="6"/>
        <v>1</v>
      </c>
      <c r="BU12" s="74">
        <f>SUM(tblSOW9[[#This Row],[P1]:[P12]])</f>
        <v>12</v>
      </c>
      <c r="BV12" s="74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12" s="74">
        <f>IFERROR(VLOOKUP(K12,[32]Parameters!BN:BW,10,0),0)</f>
        <v>999.88411827220148</v>
      </c>
    </row>
    <row r="13" spans="1:79" s="75" customFormat="1">
      <c r="A13" s="67" t="str">
        <f>CONCATENATE(INDEX([32]Parameters!$U$1:$V$20,MATCH(C13,[32]Parameters!$V$1:$V$20,0),1),"/",VLOOKUP(D13,[32]Parameters!$CG$1:$CH$12,2,0),".",E13,".",H13,".",LEFT(J13,3),"-",LEFT(K13,4))</f>
        <v>B80/20.P277.404.950-T102</v>
      </c>
      <c r="B13" s="67" t="s">
        <v>111</v>
      </c>
      <c r="C13" s="67" t="s">
        <v>164</v>
      </c>
      <c r="D13" s="39" t="s">
        <v>95</v>
      </c>
      <c r="E13" s="40" t="str">
        <f>VLOOKUP(F13,[32]Parameters!P:T,4,0)</f>
        <v>P277</v>
      </c>
      <c r="F13" s="39" t="s">
        <v>167</v>
      </c>
      <c r="G13" s="67" t="s">
        <v>125</v>
      </c>
      <c r="H13" s="67">
        <f>INDEX([32]Parameters!$B:$C,MATCH(I13,[32]Parameters!$C:$C,0),1)</f>
        <v>404</v>
      </c>
      <c r="I13" s="68" t="s">
        <v>101</v>
      </c>
      <c r="J13" s="68" t="s">
        <v>94</v>
      </c>
      <c r="K13" s="68" t="s">
        <v>102</v>
      </c>
      <c r="L13" s="68" t="str">
        <f>IFERROR(VLOOKUP(tblSOW9[[#This Row],[Employee name ]],[32]Parameters!CP:CS,4,0),"")</f>
        <v/>
      </c>
      <c r="M13" s="91"/>
      <c r="N13" s="67"/>
      <c r="O13" s="76"/>
      <c r="P13" s="72">
        <v>44927</v>
      </c>
      <c r="Q13" s="72">
        <v>45291</v>
      </c>
      <c r="R13" s="67"/>
      <c r="S13" s="67">
        <f t="shared" si="0"/>
        <v>12</v>
      </c>
      <c r="T13" s="68"/>
      <c r="U13" s="68">
        <v>20</v>
      </c>
      <c r="V13" s="68"/>
      <c r="W13" s="68" t="str">
        <f>IF(AND(ISNUMBER(SEARCH("-T",tblSOW9[[#This Row],[Budget Item]])),NOT(ISNUMBER(tblSOW9[[#This Row],[Task Units]]))),"Please Enter Task Units",
IF(AND(ISNUMBER(SEARCH("-E000",tblSOW9[[#This Row],[Budget Item]])),NOT(ISNUMBER(tblSOW9[[#This Row],[% work on project]]))),"Please Enter Organic FTE",
IF(AND(ISNUMBER(SEARCH("-E999",tblSOW9[[#This Row],[Budget Item]])),NOT(ISNUMBER(tblSOW9[[#This Row],[External Expenses/Revenues USD]]))),"Please Enter External Expenses",
"")))</f>
        <v/>
      </c>
      <c r="X13" s="67">
        <f>SUM(tblSOW9[[#This Row],[Jan 2023 USD]:[Dec 2023 USD]])</f>
        <v>19097.853408707058</v>
      </c>
      <c r="Y13" s="74">
        <f>tblSOW9[[#This Row],[FTE Cost]]*tblSOW9[[#This Row],[% work on project]]*AK13/12+tblSOW9[[#This Row],[Task Cost]]*AW13+tblSOW9[[#This Row],[External Expenses/Revenues USD]]*BI13/tblSOW9[[#This Row],[Duration]]</f>
        <v>1591.4877840589215</v>
      </c>
      <c r="Z13" s="74">
        <f>tblSOW9[[#This Row],[FTE Cost]]*tblSOW9[[#This Row],[% work on project]]*AL13/12+tblSOW9[[#This Row],[Task Cost]]*AX13+tblSOW9[[#This Row],[External Expenses/Revenues USD]]*BJ13/tblSOW9[[#This Row],[Duration]]</f>
        <v>1591.4877840589215</v>
      </c>
      <c r="AA13" s="74">
        <f>tblSOW9[[#This Row],[FTE Cost]]*tblSOW9[[#This Row],[% work on project]]*AM13/12+tblSOW9[[#This Row],[Task Cost]]*AY13+tblSOW9[[#This Row],[External Expenses/Revenues USD]]*BK13/tblSOW9[[#This Row],[Duration]]</f>
        <v>1591.4877840589215</v>
      </c>
      <c r="AB13" s="74">
        <f>tblSOW9[[#This Row],[FTE Cost]]*tblSOW9[[#This Row],[% work on project]]*AN13/12+tblSOW9[[#This Row],[Task Cost]]*AZ13+tblSOW9[[#This Row],[External Expenses/Revenues USD]]*BL13/tblSOW9[[#This Row],[Duration]]</f>
        <v>1591.4877840589215</v>
      </c>
      <c r="AC13" s="74">
        <f>tblSOW9[[#This Row],[FTE Cost]]*tblSOW9[[#This Row],[% work on project]]*AO13/12+tblSOW9[[#This Row],[Task Cost]]*BA13+tblSOW9[[#This Row],[External Expenses/Revenues USD]]*BM13/tblSOW9[[#This Row],[Duration]]</f>
        <v>1591.4877840589215</v>
      </c>
      <c r="AD13" s="74">
        <f>tblSOW9[[#This Row],[FTE Cost]]*tblSOW9[[#This Row],[% work on project]]*AP13/12+tblSOW9[[#This Row],[Task Cost]]*BB13+tblSOW9[[#This Row],[External Expenses/Revenues USD]]*BN13/tblSOW9[[#This Row],[Duration]]</f>
        <v>1591.4877840589215</v>
      </c>
      <c r="AE13" s="74">
        <f>tblSOW9[[#This Row],[FTE Cost]]*tblSOW9[[#This Row],[% work on project]]*AQ13/12+tblSOW9[[#This Row],[Task Cost]]*BC13+tblSOW9[[#This Row],[External Expenses/Revenues USD]]*BO13/tblSOW9[[#This Row],[Duration]]</f>
        <v>1591.4877840589215</v>
      </c>
      <c r="AF13" s="74">
        <f>tblSOW9[[#This Row],[FTE Cost]]*tblSOW9[[#This Row],[% work on project]]*AR13/12+tblSOW9[[#This Row],[Task Cost]]*BD13+tblSOW9[[#This Row],[External Expenses/Revenues USD]]*BP13/tblSOW9[[#This Row],[Duration]]</f>
        <v>1591.4877840589215</v>
      </c>
      <c r="AG13" s="74">
        <f>tblSOW9[[#This Row],[FTE Cost]]*tblSOW9[[#This Row],[% work on project]]*AS13/12+tblSOW9[[#This Row],[Task Cost]]*BE13+tblSOW9[[#This Row],[External Expenses/Revenues USD]]*BQ13/tblSOW9[[#This Row],[Duration]]</f>
        <v>1591.4877840589215</v>
      </c>
      <c r="AH13" s="74">
        <f>tblSOW9[[#This Row],[FTE Cost]]*tblSOW9[[#This Row],[% work on project]]*AT13/12+tblSOW9[[#This Row],[Task Cost]]*BF13+tblSOW9[[#This Row],[External Expenses/Revenues USD]]*BR13/tblSOW9[[#This Row],[Duration]]</f>
        <v>1591.4877840589215</v>
      </c>
      <c r="AI13" s="74">
        <f>tblSOW9[[#This Row],[FTE Cost]]*tblSOW9[[#This Row],[% work on project]]*AU13/12+tblSOW9[[#This Row],[Task Cost]]*BG13+tblSOW9[[#This Row],[External Expenses/Revenues USD]]*BS13/tblSOW9[[#This Row],[Duration]]</f>
        <v>1591.4877840589215</v>
      </c>
      <c r="AJ13" s="74">
        <f>tblSOW9[[#This Row],[FTE Cost]]*tblSOW9[[#This Row],[% work on project]]*AV13/12+tblSOW9[[#This Row],[Task Cost]]*BH13+tblSOW9[[#This Row],[External Expenses/Revenues USD]]*BT13/tblSOW9[[#This Row],[Duration]]</f>
        <v>1591.4877840589215</v>
      </c>
      <c r="AK13" s="74">
        <f t="shared" si="4"/>
        <v>1</v>
      </c>
      <c r="AL13" s="74">
        <f t="shared" si="4"/>
        <v>1</v>
      </c>
      <c r="AM13" s="74">
        <f t="shared" si="4"/>
        <v>1</v>
      </c>
      <c r="AN13" s="74">
        <f t="shared" si="4"/>
        <v>1</v>
      </c>
      <c r="AO13" s="74">
        <f t="shared" si="4"/>
        <v>1</v>
      </c>
      <c r="AP13" s="74">
        <f t="shared" si="4"/>
        <v>1</v>
      </c>
      <c r="AQ13" s="74">
        <f t="shared" si="4"/>
        <v>1</v>
      </c>
      <c r="AR13" s="74">
        <f t="shared" si="4"/>
        <v>1</v>
      </c>
      <c r="AS13" s="74">
        <f t="shared" si="4"/>
        <v>1</v>
      </c>
      <c r="AT13" s="74">
        <f t="shared" si="4"/>
        <v>1</v>
      </c>
      <c r="AU13" s="74">
        <f t="shared" si="4"/>
        <v>1</v>
      </c>
      <c r="AV13" s="74">
        <f t="shared" si="4"/>
        <v>1</v>
      </c>
      <c r="AW13" s="74">
        <f t="shared" si="5"/>
        <v>1.6666666666666667</v>
      </c>
      <c r="AX13" s="74">
        <f t="shared" si="5"/>
        <v>1.6666666666666667</v>
      </c>
      <c r="AY13" s="74">
        <f t="shared" si="5"/>
        <v>1.6666666666666667</v>
      </c>
      <c r="AZ13" s="74">
        <f t="shared" si="5"/>
        <v>1.6666666666666667</v>
      </c>
      <c r="BA13" s="74">
        <f t="shared" si="5"/>
        <v>1.6666666666666667</v>
      </c>
      <c r="BB13" s="74">
        <f t="shared" si="5"/>
        <v>1.6666666666666667</v>
      </c>
      <c r="BC13" s="74">
        <f t="shared" si="5"/>
        <v>1.6666666666666667</v>
      </c>
      <c r="BD13" s="74">
        <f t="shared" si="5"/>
        <v>1.6666666666666667</v>
      </c>
      <c r="BE13" s="74">
        <f t="shared" si="5"/>
        <v>1.6666666666666667</v>
      </c>
      <c r="BF13" s="74">
        <f t="shared" si="5"/>
        <v>1.6666666666666667</v>
      </c>
      <c r="BG13" s="74">
        <f t="shared" si="5"/>
        <v>1.6666666666666667</v>
      </c>
      <c r="BH13" s="74">
        <f t="shared" si="5"/>
        <v>1.6666666666666667</v>
      </c>
      <c r="BI13" s="74">
        <f t="shared" si="6"/>
        <v>1</v>
      </c>
      <c r="BJ13" s="74">
        <f t="shared" si="6"/>
        <v>1</v>
      </c>
      <c r="BK13" s="74">
        <f t="shared" si="6"/>
        <v>1</v>
      </c>
      <c r="BL13" s="74">
        <f t="shared" si="6"/>
        <v>1</v>
      </c>
      <c r="BM13" s="74">
        <f t="shared" si="6"/>
        <v>1</v>
      </c>
      <c r="BN13" s="74">
        <f t="shared" si="6"/>
        <v>1</v>
      </c>
      <c r="BO13" s="74">
        <f t="shared" si="6"/>
        <v>1</v>
      </c>
      <c r="BP13" s="74">
        <f t="shared" si="6"/>
        <v>1</v>
      </c>
      <c r="BQ13" s="74">
        <f t="shared" si="6"/>
        <v>1</v>
      </c>
      <c r="BR13" s="74">
        <f t="shared" si="6"/>
        <v>1</v>
      </c>
      <c r="BS13" s="74">
        <f t="shared" si="6"/>
        <v>1</v>
      </c>
      <c r="BT13" s="74">
        <f t="shared" si="6"/>
        <v>1</v>
      </c>
      <c r="BU13" s="74">
        <f>SUM(tblSOW9[[#This Row],[P1]:[P12]])</f>
        <v>12</v>
      </c>
      <c r="BV13" s="74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13" s="74">
        <f>IFERROR(VLOOKUP(K13,[32]Parameters!BN:BW,10,0),0)</f>
        <v>954.8926704353529</v>
      </c>
    </row>
    <row r="14" spans="1:79" s="75" customFormat="1">
      <c r="A14" s="67" t="str">
        <f>CONCATENATE(INDEX([32]Parameters!$U$1:$V$20,MATCH(C14,[32]Parameters!$V$1:$V$20,0),1),"/",VLOOKUP(D14,[32]Parameters!$CG$1:$CH$12,2,0),".",E14,".",H14,".",LEFT(J14,3),"-",LEFT(K14,4))</f>
        <v>B80/20.P277.427.950-T109</v>
      </c>
      <c r="B14" s="67" t="s">
        <v>111</v>
      </c>
      <c r="C14" s="67" t="s">
        <v>164</v>
      </c>
      <c r="D14" s="39" t="s">
        <v>95</v>
      </c>
      <c r="E14" s="40" t="str">
        <f>VLOOKUP(F14,[32]Parameters!P:T,4,0)</f>
        <v>P277</v>
      </c>
      <c r="F14" s="39" t="s">
        <v>167</v>
      </c>
      <c r="G14" s="67" t="s">
        <v>125</v>
      </c>
      <c r="H14" s="67">
        <f>INDEX([32]Parameters!$B:$C,MATCH(I14,[32]Parameters!$C:$C,0),1)</f>
        <v>427</v>
      </c>
      <c r="I14" s="68" t="s">
        <v>104</v>
      </c>
      <c r="J14" s="68" t="s">
        <v>94</v>
      </c>
      <c r="K14" s="68" t="s">
        <v>105</v>
      </c>
      <c r="L14" s="68" t="str">
        <f>IFERROR(VLOOKUP(tblSOW9[[#This Row],[Employee name ]],[32]Parameters!CP:CS,4,0),"")</f>
        <v/>
      </c>
      <c r="M14" s="91"/>
      <c r="N14" s="67"/>
      <c r="O14" s="76"/>
      <c r="P14" s="72">
        <v>44927</v>
      </c>
      <c r="Q14" s="72">
        <v>45291</v>
      </c>
      <c r="R14" s="67"/>
      <c r="S14" s="67">
        <f t="shared" si="0"/>
        <v>12</v>
      </c>
      <c r="T14" s="68"/>
      <c r="U14" s="68">
        <v>65</v>
      </c>
      <c r="V14" s="68"/>
      <c r="W14" s="68" t="str">
        <f>IF(AND(ISNUMBER(SEARCH("-T",tblSOW9[[#This Row],[Budget Item]])),NOT(ISNUMBER(tblSOW9[[#This Row],[Task Units]]))),"Please Enter Task Units",
IF(AND(ISNUMBER(SEARCH("-E000",tblSOW9[[#This Row],[Budget Item]])),NOT(ISNUMBER(tblSOW9[[#This Row],[% work on project]]))),"Please Enter Organic FTE",
IF(AND(ISNUMBER(SEARCH("-E999",tblSOW9[[#This Row],[Budget Item]])),NOT(ISNUMBER(tblSOW9[[#This Row],[External Expenses/Revenues USD]]))),"Please Enter External Expenses",
"")))</f>
        <v/>
      </c>
      <c r="X14" s="67">
        <f>SUM(tblSOW9[[#This Row],[Jan 2023 USD]:[Dec 2023 USD]])</f>
        <v>50031.449707799264</v>
      </c>
      <c r="Y14" s="74">
        <f>tblSOW9[[#This Row],[FTE Cost]]*tblSOW9[[#This Row],[% work on project]]*AK14/12+tblSOW9[[#This Row],[Task Cost]]*AW14+tblSOW9[[#This Row],[External Expenses/Revenues USD]]*BI14/tblSOW9[[#This Row],[Duration]]</f>
        <v>4169.2874756499396</v>
      </c>
      <c r="Z14" s="74">
        <f>tblSOW9[[#This Row],[FTE Cost]]*tblSOW9[[#This Row],[% work on project]]*AL14/12+tblSOW9[[#This Row],[Task Cost]]*AX14+tblSOW9[[#This Row],[External Expenses/Revenues USD]]*BJ14/tblSOW9[[#This Row],[Duration]]</f>
        <v>4169.2874756499396</v>
      </c>
      <c r="AA14" s="74">
        <f>tblSOW9[[#This Row],[FTE Cost]]*tblSOW9[[#This Row],[% work on project]]*AM14/12+tblSOW9[[#This Row],[Task Cost]]*AY14+tblSOW9[[#This Row],[External Expenses/Revenues USD]]*BK14/tblSOW9[[#This Row],[Duration]]</f>
        <v>4169.2874756499396</v>
      </c>
      <c r="AB14" s="74">
        <f>tblSOW9[[#This Row],[FTE Cost]]*tblSOW9[[#This Row],[% work on project]]*AN14/12+tblSOW9[[#This Row],[Task Cost]]*AZ14+tblSOW9[[#This Row],[External Expenses/Revenues USD]]*BL14/tblSOW9[[#This Row],[Duration]]</f>
        <v>4169.2874756499396</v>
      </c>
      <c r="AC14" s="74">
        <f>tblSOW9[[#This Row],[FTE Cost]]*tblSOW9[[#This Row],[% work on project]]*AO14/12+tblSOW9[[#This Row],[Task Cost]]*BA14+tblSOW9[[#This Row],[External Expenses/Revenues USD]]*BM14/tblSOW9[[#This Row],[Duration]]</f>
        <v>4169.2874756499396</v>
      </c>
      <c r="AD14" s="74">
        <f>tblSOW9[[#This Row],[FTE Cost]]*tblSOW9[[#This Row],[% work on project]]*AP14/12+tblSOW9[[#This Row],[Task Cost]]*BB14+tblSOW9[[#This Row],[External Expenses/Revenues USD]]*BN14/tblSOW9[[#This Row],[Duration]]</f>
        <v>4169.2874756499396</v>
      </c>
      <c r="AE14" s="74">
        <f>tblSOW9[[#This Row],[FTE Cost]]*tblSOW9[[#This Row],[% work on project]]*AQ14/12+tblSOW9[[#This Row],[Task Cost]]*BC14+tblSOW9[[#This Row],[External Expenses/Revenues USD]]*BO14/tblSOW9[[#This Row],[Duration]]</f>
        <v>4169.2874756499396</v>
      </c>
      <c r="AF14" s="74">
        <f>tblSOW9[[#This Row],[FTE Cost]]*tblSOW9[[#This Row],[% work on project]]*AR14/12+tblSOW9[[#This Row],[Task Cost]]*BD14+tblSOW9[[#This Row],[External Expenses/Revenues USD]]*BP14/tblSOW9[[#This Row],[Duration]]</f>
        <v>4169.2874756499396</v>
      </c>
      <c r="AG14" s="74">
        <f>tblSOW9[[#This Row],[FTE Cost]]*tblSOW9[[#This Row],[% work on project]]*AS14/12+tblSOW9[[#This Row],[Task Cost]]*BE14+tblSOW9[[#This Row],[External Expenses/Revenues USD]]*BQ14/tblSOW9[[#This Row],[Duration]]</f>
        <v>4169.2874756499396</v>
      </c>
      <c r="AH14" s="74">
        <f>tblSOW9[[#This Row],[FTE Cost]]*tblSOW9[[#This Row],[% work on project]]*AT14/12+tblSOW9[[#This Row],[Task Cost]]*BF14+tblSOW9[[#This Row],[External Expenses/Revenues USD]]*BR14/tblSOW9[[#This Row],[Duration]]</f>
        <v>4169.2874756499396</v>
      </c>
      <c r="AI14" s="74">
        <f>tblSOW9[[#This Row],[FTE Cost]]*tblSOW9[[#This Row],[% work on project]]*AU14/12+tblSOW9[[#This Row],[Task Cost]]*BG14+tblSOW9[[#This Row],[External Expenses/Revenues USD]]*BS14/tblSOW9[[#This Row],[Duration]]</f>
        <v>4169.2874756499396</v>
      </c>
      <c r="AJ14" s="74">
        <f>tblSOW9[[#This Row],[FTE Cost]]*tblSOW9[[#This Row],[% work on project]]*AV14/12+tblSOW9[[#This Row],[Task Cost]]*BH14+tblSOW9[[#This Row],[External Expenses/Revenues USD]]*BT14/tblSOW9[[#This Row],[Duration]]</f>
        <v>4169.2874756499396</v>
      </c>
      <c r="AK14" s="74">
        <f t="shared" si="4"/>
        <v>1</v>
      </c>
      <c r="AL14" s="74">
        <f t="shared" si="4"/>
        <v>1</v>
      </c>
      <c r="AM14" s="74">
        <f t="shared" si="4"/>
        <v>1</v>
      </c>
      <c r="AN14" s="74">
        <f t="shared" si="4"/>
        <v>1</v>
      </c>
      <c r="AO14" s="74">
        <f t="shared" si="4"/>
        <v>1</v>
      </c>
      <c r="AP14" s="74">
        <f t="shared" si="4"/>
        <v>1</v>
      </c>
      <c r="AQ14" s="74">
        <f t="shared" si="4"/>
        <v>1</v>
      </c>
      <c r="AR14" s="74">
        <f t="shared" si="4"/>
        <v>1</v>
      </c>
      <c r="AS14" s="74">
        <f t="shared" si="4"/>
        <v>1</v>
      </c>
      <c r="AT14" s="74">
        <f t="shared" si="4"/>
        <v>1</v>
      </c>
      <c r="AU14" s="74">
        <f t="shared" si="4"/>
        <v>1</v>
      </c>
      <c r="AV14" s="74">
        <f t="shared" si="4"/>
        <v>1</v>
      </c>
      <c r="AW14" s="74">
        <f t="shared" si="5"/>
        <v>5.416666666666667</v>
      </c>
      <c r="AX14" s="74">
        <f t="shared" si="5"/>
        <v>5.416666666666667</v>
      </c>
      <c r="AY14" s="74">
        <f t="shared" si="5"/>
        <v>5.416666666666667</v>
      </c>
      <c r="AZ14" s="74">
        <f t="shared" si="5"/>
        <v>5.416666666666667</v>
      </c>
      <c r="BA14" s="74">
        <f t="shared" si="5"/>
        <v>5.416666666666667</v>
      </c>
      <c r="BB14" s="74">
        <f t="shared" si="5"/>
        <v>5.416666666666667</v>
      </c>
      <c r="BC14" s="74">
        <f t="shared" si="5"/>
        <v>5.416666666666667</v>
      </c>
      <c r="BD14" s="74">
        <f t="shared" si="5"/>
        <v>5.416666666666667</v>
      </c>
      <c r="BE14" s="74">
        <f t="shared" si="5"/>
        <v>5.416666666666667</v>
      </c>
      <c r="BF14" s="74">
        <f t="shared" si="5"/>
        <v>5.416666666666667</v>
      </c>
      <c r="BG14" s="74">
        <f t="shared" si="5"/>
        <v>5.416666666666667</v>
      </c>
      <c r="BH14" s="74">
        <f t="shared" si="5"/>
        <v>5.416666666666667</v>
      </c>
      <c r="BI14" s="74">
        <f t="shared" si="6"/>
        <v>1</v>
      </c>
      <c r="BJ14" s="74">
        <f t="shared" si="6"/>
        <v>1</v>
      </c>
      <c r="BK14" s="74">
        <f t="shared" si="6"/>
        <v>1</v>
      </c>
      <c r="BL14" s="74">
        <f t="shared" si="6"/>
        <v>1</v>
      </c>
      <c r="BM14" s="74">
        <f t="shared" si="6"/>
        <v>1</v>
      </c>
      <c r="BN14" s="74">
        <f t="shared" si="6"/>
        <v>1</v>
      </c>
      <c r="BO14" s="74">
        <f t="shared" si="6"/>
        <v>1</v>
      </c>
      <c r="BP14" s="74">
        <f t="shared" si="6"/>
        <v>1</v>
      </c>
      <c r="BQ14" s="74">
        <f t="shared" si="6"/>
        <v>1</v>
      </c>
      <c r="BR14" s="74">
        <f t="shared" si="6"/>
        <v>1</v>
      </c>
      <c r="BS14" s="74">
        <f t="shared" si="6"/>
        <v>1</v>
      </c>
      <c r="BT14" s="74">
        <f t="shared" si="6"/>
        <v>1</v>
      </c>
      <c r="BU14" s="74">
        <f>SUM(tblSOW9[[#This Row],[P1]:[P12]])</f>
        <v>12</v>
      </c>
      <c r="BV14" s="74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14" s="74">
        <f>IFERROR(VLOOKUP(K14,[32]Parameters!BN:BW,10,0),0)</f>
        <v>769.71461088921956</v>
      </c>
    </row>
    <row r="15" spans="1:79" s="75" customFormat="1">
      <c r="A15" s="67" t="str">
        <f>CONCATENATE(INDEX([32]Parameters!$U$1:$V$20,MATCH(C15,[32]Parameters!$V$1:$V$20,0),1),"/",VLOOKUP(D15,[32]Parameters!$CG$1:$CH$12,2,0),".",E15,".",H15,".",LEFT(J15,3),"-",LEFT(K15,4))</f>
        <v>B80/20.P277.405.950-T103</v>
      </c>
      <c r="B15" s="67" t="s">
        <v>111</v>
      </c>
      <c r="C15" s="67" t="s">
        <v>164</v>
      </c>
      <c r="D15" s="39" t="s">
        <v>95</v>
      </c>
      <c r="E15" s="40" t="str">
        <f>VLOOKUP(F15,[32]Parameters!P:T,4,0)</f>
        <v>P277</v>
      </c>
      <c r="F15" s="39" t="s">
        <v>167</v>
      </c>
      <c r="G15" s="67" t="s">
        <v>125</v>
      </c>
      <c r="H15" s="67">
        <f>INDEX([32]Parameters!$B:$C,MATCH(I15,[32]Parameters!$C:$C,0),1)</f>
        <v>405</v>
      </c>
      <c r="I15" s="68" t="s">
        <v>98</v>
      </c>
      <c r="J15" s="68" t="s">
        <v>94</v>
      </c>
      <c r="K15" s="68" t="s">
        <v>99</v>
      </c>
      <c r="L15" s="68" t="str">
        <f>IFERROR(VLOOKUP(tblSOW9[[#This Row],[Employee name ]],[32]Parameters!CP:CS,4,0),"")</f>
        <v/>
      </c>
      <c r="M15" s="91"/>
      <c r="N15" s="67"/>
      <c r="O15" s="76"/>
      <c r="P15" s="72">
        <v>44927</v>
      </c>
      <c r="Q15" s="72">
        <v>45291</v>
      </c>
      <c r="R15" s="67"/>
      <c r="S15" s="67">
        <f t="shared" si="0"/>
        <v>12</v>
      </c>
      <c r="T15" s="68"/>
      <c r="U15" s="68">
        <v>35</v>
      </c>
      <c r="V15" s="68"/>
      <c r="W15" s="68" t="str">
        <f>IF(AND(ISNUMBER(SEARCH("-T",tblSOW9[[#This Row],[Budget Item]])),NOT(ISNUMBER(tblSOW9[[#This Row],[Task Units]]))),"Please Enter Task Units",
IF(AND(ISNUMBER(SEARCH("-E000",tblSOW9[[#This Row],[Budget Item]])),NOT(ISNUMBER(tblSOW9[[#This Row],[% work on project]]))),"Please Enter Organic FTE",
IF(AND(ISNUMBER(SEARCH("-E999",tblSOW9[[#This Row],[Budget Item]])),NOT(ISNUMBER(tblSOW9[[#This Row],[External Expenses/Revenues USD]]))),"Please Enter External Expenses",
"")))</f>
        <v/>
      </c>
      <c r="X15" s="67">
        <f>SUM(tblSOW9[[#This Row],[Jan 2023 USD]:[Dec 2023 USD]])</f>
        <v>27819.486510429826</v>
      </c>
      <c r="Y15" s="74">
        <f>tblSOW9[[#This Row],[FTE Cost]]*tblSOW9[[#This Row],[% work on project]]*AK15/12+tblSOW9[[#This Row],[Task Cost]]*AW15+tblSOW9[[#This Row],[External Expenses/Revenues USD]]*BI15/tblSOW9[[#This Row],[Duration]]</f>
        <v>2318.2905425358194</v>
      </c>
      <c r="Z15" s="74">
        <f>tblSOW9[[#This Row],[FTE Cost]]*tblSOW9[[#This Row],[% work on project]]*AL15/12+tblSOW9[[#This Row],[Task Cost]]*AX15+tblSOW9[[#This Row],[External Expenses/Revenues USD]]*BJ15/tblSOW9[[#This Row],[Duration]]</f>
        <v>2318.2905425358194</v>
      </c>
      <c r="AA15" s="74">
        <f>tblSOW9[[#This Row],[FTE Cost]]*tblSOW9[[#This Row],[% work on project]]*AM15/12+tblSOW9[[#This Row],[Task Cost]]*AY15+tblSOW9[[#This Row],[External Expenses/Revenues USD]]*BK15/tblSOW9[[#This Row],[Duration]]</f>
        <v>2318.2905425358194</v>
      </c>
      <c r="AB15" s="74">
        <f>tblSOW9[[#This Row],[FTE Cost]]*tblSOW9[[#This Row],[% work on project]]*AN15/12+tblSOW9[[#This Row],[Task Cost]]*AZ15+tblSOW9[[#This Row],[External Expenses/Revenues USD]]*BL15/tblSOW9[[#This Row],[Duration]]</f>
        <v>2318.2905425358194</v>
      </c>
      <c r="AC15" s="74">
        <f>tblSOW9[[#This Row],[FTE Cost]]*tblSOW9[[#This Row],[% work on project]]*AO15/12+tblSOW9[[#This Row],[Task Cost]]*BA15+tblSOW9[[#This Row],[External Expenses/Revenues USD]]*BM15/tblSOW9[[#This Row],[Duration]]</f>
        <v>2318.2905425358194</v>
      </c>
      <c r="AD15" s="74">
        <f>tblSOW9[[#This Row],[FTE Cost]]*tblSOW9[[#This Row],[% work on project]]*AP15/12+tblSOW9[[#This Row],[Task Cost]]*BB15+tblSOW9[[#This Row],[External Expenses/Revenues USD]]*BN15/tblSOW9[[#This Row],[Duration]]</f>
        <v>2318.2905425358194</v>
      </c>
      <c r="AE15" s="74">
        <f>tblSOW9[[#This Row],[FTE Cost]]*tblSOW9[[#This Row],[% work on project]]*AQ15/12+tblSOW9[[#This Row],[Task Cost]]*BC15+tblSOW9[[#This Row],[External Expenses/Revenues USD]]*BO15/tblSOW9[[#This Row],[Duration]]</f>
        <v>2318.2905425358194</v>
      </c>
      <c r="AF15" s="74">
        <f>tblSOW9[[#This Row],[FTE Cost]]*tblSOW9[[#This Row],[% work on project]]*AR15/12+tblSOW9[[#This Row],[Task Cost]]*BD15+tblSOW9[[#This Row],[External Expenses/Revenues USD]]*BP15/tblSOW9[[#This Row],[Duration]]</f>
        <v>2318.2905425358194</v>
      </c>
      <c r="AG15" s="74">
        <f>tblSOW9[[#This Row],[FTE Cost]]*tblSOW9[[#This Row],[% work on project]]*AS15/12+tblSOW9[[#This Row],[Task Cost]]*BE15+tblSOW9[[#This Row],[External Expenses/Revenues USD]]*BQ15/tblSOW9[[#This Row],[Duration]]</f>
        <v>2318.2905425358194</v>
      </c>
      <c r="AH15" s="74">
        <f>tblSOW9[[#This Row],[FTE Cost]]*tblSOW9[[#This Row],[% work on project]]*AT15/12+tblSOW9[[#This Row],[Task Cost]]*BF15+tblSOW9[[#This Row],[External Expenses/Revenues USD]]*BR15/tblSOW9[[#This Row],[Duration]]</f>
        <v>2318.2905425358194</v>
      </c>
      <c r="AI15" s="74">
        <f>tblSOW9[[#This Row],[FTE Cost]]*tblSOW9[[#This Row],[% work on project]]*AU15/12+tblSOW9[[#This Row],[Task Cost]]*BG15+tblSOW9[[#This Row],[External Expenses/Revenues USD]]*BS15/tblSOW9[[#This Row],[Duration]]</f>
        <v>2318.2905425358194</v>
      </c>
      <c r="AJ15" s="74">
        <f>tblSOW9[[#This Row],[FTE Cost]]*tblSOW9[[#This Row],[% work on project]]*AV15/12+tblSOW9[[#This Row],[Task Cost]]*BH15+tblSOW9[[#This Row],[External Expenses/Revenues USD]]*BT15/tblSOW9[[#This Row],[Duration]]</f>
        <v>2318.2905425358194</v>
      </c>
      <c r="AK15" s="74">
        <f t="shared" si="4"/>
        <v>1</v>
      </c>
      <c r="AL15" s="74">
        <f t="shared" si="4"/>
        <v>1</v>
      </c>
      <c r="AM15" s="74">
        <f t="shared" si="4"/>
        <v>1</v>
      </c>
      <c r="AN15" s="74">
        <f t="shared" si="4"/>
        <v>1</v>
      </c>
      <c r="AO15" s="74">
        <f t="shared" si="4"/>
        <v>1</v>
      </c>
      <c r="AP15" s="74">
        <f t="shared" si="4"/>
        <v>1</v>
      </c>
      <c r="AQ15" s="74">
        <f t="shared" si="4"/>
        <v>1</v>
      </c>
      <c r="AR15" s="74">
        <f t="shared" si="4"/>
        <v>1</v>
      </c>
      <c r="AS15" s="74">
        <f t="shared" si="4"/>
        <v>1</v>
      </c>
      <c r="AT15" s="74">
        <f t="shared" si="4"/>
        <v>1</v>
      </c>
      <c r="AU15" s="74">
        <f t="shared" si="4"/>
        <v>1</v>
      </c>
      <c r="AV15" s="74">
        <f t="shared" si="4"/>
        <v>1</v>
      </c>
      <c r="AW15" s="74">
        <f t="shared" si="5"/>
        <v>2.9166666666666665</v>
      </c>
      <c r="AX15" s="74">
        <f t="shared" si="5"/>
        <v>2.9166666666666665</v>
      </c>
      <c r="AY15" s="74">
        <f t="shared" si="5"/>
        <v>2.9166666666666665</v>
      </c>
      <c r="AZ15" s="74">
        <f t="shared" si="5"/>
        <v>2.9166666666666665</v>
      </c>
      <c r="BA15" s="74">
        <f t="shared" si="5"/>
        <v>2.9166666666666665</v>
      </c>
      <c r="BB15" s="74">
        <f t="shared" si="5"/>
        <v>2.9166666666666665</v>
      </c>
      <c r="BC15" s="74">
        <f t="shared" si="5"/>
        <v>2.9166666666666665</v>
      </c>
      <c r="BD15" s="74">
        <f t="shared" si="5"/>
        <v>2.9166666666666665</v>
      </c>
      <c r="BE15" s="74">
        <f t="shared" si="5"/>
        <v>2.9166666666666665</v>
      </c>
      <c r="BF15" s="74">
        <f t="shared" si="5"/>
        <v>2.9166666666666665</v>
      </c>
      <c r="BG15" s="74">
        <f t="shared" si="5"/>
        <v>2.9166666666666665</v>
      </c>
      <c r="BH15" s="74">
        <f t="shared" si="5"/>
        <v>2.9166666666666665</v>
      </c>
      <c r="BI15" s="74">
        <f t="shared" si="6"/>
        <v>1</v>
      </c>
      <c r="BJ15" s="74">
        <f t="shared" si="6"/>
        <v>1</v>
      </c>
      <c r="BK15" s="74">
        <f t="shared" si="6"/>
        <v>1</v>
      </c>
      <c r="BL15" s="74">
        <f t="shared" si="6"/>
        <v>1</v>
      </c>
      <c r="BM15" s="74">
        <f t="shared" si="6"/>
        <v>1</v>
      </c>
      <c r="BN15" s="74">
        <f t="shared" si="6"/>
        <v>1</v>
      </c>
      <c r="BO15" s="74">
        <f t="shared" si="6"/>
        <v>1</v>
      </c>
      <c r="BP15" s="74">
        <f t="shared" si="6"/>
        <v>1</v>
      </c>
      <c r="BQ15" s="74">
        <f t="shared" si="6"/>
        <v>1</v>
      </c>
      <c r="BR15" s="74">
        <f t="shared" si="6"/>
        <v>1</v>
      </c>
      <c r="BS15" s="74">
        <f t="shared" si="6"/>
        <v>1</v>
      </c>
      <c r="BT15" s="74">
        <f t="shared" si="6"/>
        <v>1</v>
      </c>
      <c r="BU15" s="74">
        <f>SUM(tblSOW9[[#This Row],[P1]:[P12]])</f>
        <v>12</v>
      </c>
      <c r="BV15" s="74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15" s="74">
        <f>IFERROR(VLOOKUP(K15,[32]Parameters!BN:BW,10,0),0)</f>
        <v>794.84247172656671</v>
      </c>
    </row>
    <row r="16" spans="1:79" s="75" customFormat="1">
      <c r="A16" s="67" t="str">
        <f>CONCATENATE(INDEX([32]Parameters!$U$1:$V$20,MATCH(C16,[32]Parameters!$V$1:$V$20,0),1),"/",VLOOKUP(D16,[32]Parameters!$CG$1:$CH$12,2,0),".",E16,".",H16,".",LEFT(J16,3),"-",LEFT(K16,4))</f>
        <v>B80/20.P277.406.950-T112</v>
      </c>
      <c r="B16" s="67" t="s">
        <v>111</v>
      </c>
      <c r="C16" s="67" t="s">
        <v>164</v>
      </c>
      <c r="D16" s="39" t="s">
        <v>95</v>
      </c>
      <c r="E16" s="40" t="str">
        <f>VLOOKUP(F16,[32]Parameters!P:T,4,0)</f>
        <v>P277</v>
      </c>
      <c r="F16" s="39" t="s">
        <v>167</v>
      </c>
      <c r="G16" s="67" t="s">
        <v>125</v>
      </c>
      <c r="H16" s="67">
        <f>INDEX([32]Parameters!$B:$C,MATCH(I16,[32]Parameters!$C:$C,0),1)</f>
        <v>406</v>
      </c>
      <c r="I16" s="68" t="s">
        <v>106</v>
      </c>
      <c r="J16" s="68" t="s">
        <v>94</v>
      </c>
      <c r="K16" s="68" t="s">
        <v>107</v>
      </c>
      <c r="L16" s="68" t="str">
        <f>IFERROR(VLOOKUP(tblSOW9[[#This Row],[Employee name ]],[32]Parameters!CP:CS,4,0),"")</f>
        <v/>
      </c>
      <c r="M16" s="91"/>
      <c r="N16" s="67"/>
      <c r="O16" s="76"/>
      <c r="P16" s="72">
        <v>44927</v>
      </c>
      <c r="Q16" s="72">
        <v>45291</v>
      </c>
      <c r="R16" s="67"/>
      <c r="S16" s="67">
        <f t="shared" si="0"/>
        <v>12</v>
      </c>
      <c r="T16" s="68"/>
      <c r="U16" s="68">
        <v>37</v>
      </c>
      <c r="V16" s="68"/>
      <c r="W16" s="68" t="str">
        <f>IF(AND(ISNUMBER(SEARCH("-T",tblSOW9[[#This Row],[Budget Item]])),NOT(ISNUMBER(tblSOW9[[#This Row],[Task Units]]))),"Please Enter Task Units",
IF(AND(ISNUMBER(SEARCH("-E000",tblSOW9[[#This Row],[Budget Item]])),NOT(ISNUMBER(tblSOW9[[#This Row],[% work on project]]))),"Please Enter Organic FTE",
IF(AND(ISNUMBER(SEARCH("-E999",tblSOW9[[#This Row],[Budget Item]])),NOT(ISNUMBER(tblSOW9[[#This Row],[External Expenses/Revenues USD]]))),"Please Enter External Expenses",
"")))</f>
        <v/>
      </c>
      <c r="X16" s="67">
        <f>SUM(tblSOW9[[#This Row],[Jan 2023 USD]:[Dec 2023 USD]])</f>
        <v>35126.67157648506</v>
      </c>
      <c r="Y16" s="74">
        <f>tblSOW9[[#This Row],[FTE Cost]]*tblSOW9[[#This Row],[% work on project]]*AK16/12+tblSOW9[[#This Row],[Task Cost]]*AW16+tblSOW9[[#This Row],[External Expenses/Revenues USD]]*BI16/tblSOW9[[#This Row],[Duration]]</f>
        <v>2927.2226313737551</v>
      </c>
      <c r="Z16" s="74">
        <f>tblSOW9[[#This Row],[FTE Cost]]*tblSOW9[[#This Row],[% work on project]]*AL16/12+tblSOW9[[#This Row],[Task Cost]]*AX16+tblSOW9[[#This Row],[External Expenses/Revenues USD]]*BJ16/tblSOW9[[#This Row],[Duration]]</f>
        <v>2927.2226313737551</v>
      </c>
      <c r="AA16" s="74">
        <f>tblSOW9[[#This Row],[FTE Cost]]*tblSOW9[[#This Row],[% work on project]]*AM16/12+tblSOW9[[#This Row],[Task Cost]]*AY16+tblSOW9[[#This Row],[External Expenses/Revenues USD]]*BK16/tblSOW9[[#This Row],[Duration]]</f>
        <v>2927.2226313737551</v>
      </c>
      <c r="AB16" s="74">
        <f>tblSOW9[[#This Row],[FTE Cost]]*tblSOW9[[#This Row],[% work on project]]*AN16/12+tblSOW9[[#This Row],[Task Cost]]*AZ16+tblSOW9[[#This Row],[External Expenses/Revenues USD]]*BL16/tblSOW9[[#This Row],[Duration]]</f>
        <v>2927.2226313737551</v>
      </c>
      <c r="AC16" s="74">
        <f>tblSOW9[[#This Row],[FTE Cost]]*tblSOW9[[#This Row],[% work on project]]*AO16/12+tblSOW9[[#This Row],[Task Cost]]*BA16+tblSOW9[[#This Row],[External Expenses/Revenues USD]]*BM16/tblSOW9[[#This Row],[Duration]]</f>
        <v>2927.2226313737551</v>
      </c>
      <c r="AD16" s="74">
        <f>tblSOW9[[#This Row],[FTE Cost]]*tblSOW9[[#This Row],[% work on project]]*AP16/12+tblSOW9[[#This Row],[Task Cost]]*BB16+tblSOW9[[#This Row],[External Expenses/Revenues USD]]*BN16/tblSOW9[[#This Row],[Duration]]</f>
        <v>2927.2226313737551</v>
      </c>
      <c r="AE16" s="74">
        <f>tblSOW9[[#This Row],[FTE Cost]]*tblSOW9[[#This Row],[% work on project]]*AQ16/12+tblSOW9[[#This Row],[Task Cost]]*BC16+tblSOW9[[#This Row],[External Expenses/Revenues USD]]*BO16/tblSOW9[[#This Row],[Duration]]</f>
        <v>2927.2226313737551</v>
      </c>
      <c r="AF16" s="74">
        <f>tblSOW9[[#This Row],[FTE Cost]]*tblSOW9[[#This Row],[% work on project]]*AR16/12+tblSOW9[[#This Row],[Task Cost]]*BD16+tblSOW9[[#This Row],[External Expenses/Revenues USD]]*BP16/tblSOW9[[#This Row],[Duration]]</f>
        <v>2927.2226313737551</v>
      </c>
      <c r="AG16" s="74">
        <f>tblSOW9[[#This Row],[FTE Cost]]*tblSOW9[[#This Row],[% work on project]]*AS16/12+tblSOW9[[#This Row],[Task Cost]]*BE16+tblSOW9[[#This Row],[External Expenses/Revenues USD]]*BQ16/tblSOW9[[#This Row],[Duration]]</f>
        <v>2927.2226313737551</v>
      </c>
      <c r="AH16" s="74">
        <f>tblSOW9[[#This Row],[FTE Cost]]*tblSOW9[[#This Row],[% work on project]]*AT16/12+tblSOW9[[#This Row],[Task Cost]]*BF16+tblSOW9[[#This Row],[External Expenses/Revenues USD]]*BR16/tblSOW9[[#This Row],[Duration]]</f>
        <v>2927.2226313737551</v>
      </c>
      <c r="AI16" s="74">
        <f>tblSOW9[[#This Row],[FTE Cost]]*tblSOW9[[#This Row],[% work on project]]*AU16/12+tblSOW9[[#This Row],[Task Cost]]*BG16+tblSOW9[[#This Row],[External Expenses/Revenues USD]]*BS16/tblSOW9[[#This Row],[Duration]]</f>
        <v>2927.2226313737551</v>
      </c>
      <c r="AJ16" s="74">
        <f>tblSOW9[[#This Row],[FTE Cost]]*tblSOW9[[#This Row],[% work on project]]*AV16/12+tblSOW9[[#This Row],[Task Cost]]*BH16+tblSOW9[[#This Row],[External Expenses/Revenues USD]]*BT16/tblSOW9[[#This Row],[Duration]]</f>
        <v>2927.2226313737551</v>
      </c>
      <c r="AK16" s="74">
        <f t="shared" si="4"/>
        <v>1</v>
      </c>
      <c r="AL16" s="74">
        <f t="shared" si="4"/>
        <v>1</v>
      </c>
      <c r="AM16" s="74">
        <f t="shared" si="4"/>
        <v>1</v>
      </c>
      <c r="AN16" s="74">
        <f t="shared" si="4"/>
        <v>1</v>
      </c>
      <c r="AO16" s="74">
        <f t="shared" si="4"/>
        <v>1</v>
      </c>
      <c r="AP16" s="74">
        <f t="shared" si="4"/>
        <v>1</v>
      </c>
      <c r="AQ16" s="74">
        <f t="shared" si="4"/>
        <v>1</v>
      </c>
      <c r="AR16" s="74">
        <f t="shared" si="4"/>
        <v>1</v>
      </c>
      <c r="AS16" s="74">
        <f t="shared" si="4"/>
        <v>1</v>
      </c>
      <c r="AT16" s="74">
        <f t="shared" si="4"/>
        <v>1</v>
      </c>
      <c r="AU16" s="74">
        <f t="shared" si="4"/>
        <v>1</v>
      </c>
      <c r="AV16" s="74">
        <f t="shared" si="4"/>
        <v>1</v>
      </c>
      <c r="AW16" s="74">
        <f t="shared" si="5"/>
        <v>3.0833333333333335</v>
      </c>
      <c r="AX16" s="74">
        <f t="shared" si="5"/>
        <v>3.0833333333333335</v>
      </c>
      <c r="AY16" s="74">
        <f t="shared" si="5"/>
        <v>3.0833333333333335</v>
      </c>
      <c r="AZ16" s="74">
        <f t="shared" si="5"/>
        <v>3.0833333333333335</v>
      </c>
      <c r="BA16" s="74">
        <f t="shared" si="5"/>
        <v>3.0833333333333335</v>
      </c>
      <c r="BB16" s="74">
        <f t="shared" si="5"/>
        <v>3.0833333333333335</v>
      </c>
      <c r="BC16" s="74">
        <f t="shared" si="5"/>
        <v>3.0833333333333335</v>
      </c>
      <c r="BD16" s="74">
        <f t="shared" si="5"/>
        <v>3.0833333333333335</v>
      </c>
      <c r="BE16" s="74">
        <f t="shared" si="5"/>
        <v>3.0833333333333335</v>
      </c>
      <c r="BF16" s="74">
        <f t="shared" si="5"/>
        <v>3.0833333333333335</v>
      </c>
      <c r="BG16" s="74">
        <f t="shared" si="5"/>
        <v>3.0833333333333335</v>
      </c>
      <c r="BH16" s="74">
        <f t="shared" si="5"/>
        <v>3.0833333333333335</v>
      </c>
      <c r="BI16" s="74">
        <f t="shared" si="6"/>
        <v>1</v>
      </c>
      <c r="BJ16" s="74">
        <f t="shared" si="6"/>
        <v>1</v>
      </c>
      <c r="BK16" s="74">
        <f t="shared" si="6"/>
        <v>1</v>
      </c>
      <c r="BL16" s="74">
        <f t="shared" si="6"/>
        <v>1</v>
      </c>
      <c r="BM16" s="74">
        <f t="shared" si="6"/>
        <v>1</v>
      </c>
      <c r="BN16" s="74">
        <f t="shared" si="6"/>
        <v>1</v>
      </c>
      <c r="BO16" s="74">
        <f t="shared" si="6"/>
        <v>1</v>
      </c>
      <c r="BP16" s="74">
        <f t="shared" si="6"/>
        <v>1</v>
      </c>
      <c r="BQ16" s="74">
        <f t="shared" si="6"/>
        <v>1</v>
      </c>
      <c r="BR16" s="74">
        <f t="shared" si="6"/>
        <v>1</v>
      </c>
      <c r="BS16" s="74">
        <f t="shared" si="6"/>
        <v>1</v>
      </c>
      <c r="BT16" s="74">
        <f t="shared" si="6"/>
        <v>1</v>
      </c>
      <c r="BU16" s="74">
        <f>SUM(tblSOW9[[#This Row],[P1]:[P12]])</f>
        <v>12</v>
      </c>
      <c r="BV16" s="74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16" s="74">
        <f>IFERROR(VLOOKUP(K16,[32]Parameters!BN:BW,10,0),0)</f>
        <v>949.36950206716381</v>
      </c>
    </row>
    <row r="17" spans="1:75" s="75" customFormat="1">
      <c r="A17" s="67" t="str">
        <f>CONCATENATE(INDEX([32]Parameters!$U$1:$V$20,MATCH(C17,[32]Parameters!$V$1:$V$20,0),1),"/",VLOOKUP(D17,[32]Parameters!$CG$1:$CH$12,2,0),".",E17,".",H17,".",LEFT(J17,3),"-",LEFT(K17,4))</f>
        <v>B80/20.P277.420.950-T105</v>
      </c>
      <c r="B17" s="67" t="s">
        <v>111</v>
      </c>
      <c r="C17" s="67" t="s">
        <v>164</v>
      </c>
      <c r="D17" s="39" t="s">
        <v>95</v>
      </c>
      <c r="E17" s="40" t="str">
        <f>VLOOKUP(F17,[32]Parameters!P:T,4,0)</f>
        <v>P277</v>
      </c>
      <c r="F17" s="39" t="s">
        <v>167</v>
      </c>
      <c r="G17" s="67" t="s">
        <v>125</v>
      </c>
      <c r="H17" s="67">
        <f>INDEX([32]Parameters!$B:$C,MATCH(I17,[32]Parameters!$C:$C,0),1)</f>
        <v>420</v>
      </c>
      <c r="I17" s="68" t="s">
        <v>113</v>
      </c>
      <c r="J17" s="68" t="s">
        <v>94</v>
      </c>
      <c r="K17" s="68" t="s">
        <v>122</v>
      </c>
      <c r="L17" s="68" t="str">
        <f>IFERROR(VLOOKUP(tblSOW9[[#This Row],[Employee name ]],[32]Parameters!CP:CS,4,0),"")</f>
        <v/>
      </c>
      <c r="M17" s="91"/>
      <c r="N17" s="67"/>
      <c r="O17" s="76"/>
      <c r="P17" s="72">
        <v>44927</v>
      </c>
      <c r="Q17" s="72">
        <v>45291</v>
      </c>
      <c r="R17" s="67"/>
      <c r="S17" s="67">
        <f t="shared" si="0"/>
        <v>12</v>
      </c>
      <c r="T17" s="68"/>
      <c r="U17" s="68">
        <v>22</v>
      </c>
      <c r="V17" s="68"/>
      <c r="W17" s="68" t="str">
        <f>IF(AND(ISNUMBER(SEARCH("-T",tblSOW9[[#This Row],[Budget Item]])),NOT(ISNUMBER(tblSOW9[[#This Row],[Task Units]]))),"Please Enter Task Units",
IF(AND(ISNUMBER(SEARCH("-E000",tblSOW9[[#This Row],[Budget Item]])),NOT(ISNUMBER(tblSOW9[[#This Row],[% work on project]]))),"Please Enter Organic FTE",
IF(AND(ISNUMBER(SEARCH("-E999",tblSOW9[[#This Row],[Budget Item]])),NOT(ISNUMBER(tblSOW9[[#This Row],[External Expenses/Revenues USD]]))),"Please Enter External Expenses",
"")))</f>
        <v/>
      </c>
      <c r="X17" s="67">
        <f>SUM(tblSOW9[[#This Row],[Jan 2023 USD]:[Dec 2023 USD]])</f>
        <v>21997.450601988432</v>
      </c>
      <c r="Y17" s="74">
        <f>tblSOW9[[#This Row],[FTE Cost]]*tblSOW9[[#This Row],[% work on project]]*AK17/12+tblSOW9[[#This Row],[Task Cost]]*AW17+tblSOW9[[#This Row],[External Expenses/Revenues USD]]*BI17/tblSOW9[[#This Row],[Duration]]</f>
        <v>1833.1208834990359</v>
      </c>
      <c r="Z17" s="74">
        <f>tblSOW9[[#This Row],[FTE Cost]]*tblSOW9[[#This Row],[% work on project]]*AL17/12+tblSOW9[[#This Row],[Task Cost]]*AX17+tblSOW9[[#This Row],[External Expenses/Revenues USD]]*BJ17/tblSOW9[[#This Row],[Duration]]</f>
        <v>1833.1208834990359</v>
      </c>
      <c r="AA17" s="74">
        <f>tblSOW9[[#This Row],[FTE Cost]]*tblSOW9[[#This Row],[% work on project]]*AM17/12+tblSOW9[[#This Row],[Task Cost]]*AY17+tblSOW9[[#This Row],[External Expenses/Revenues USD]]*BK17/tblSOW9[[#This Row],[Duration]]</f>
        <v>1833.1208834990359</v>
      </c>
      <c r="AB17" s="74">
        <f>tblSOW9[[#This Row],[FTE Cost]]*tblSOW9[[#This Row],[% work on project]]*AN17/12+tblSOW9[[#This Row],[Task Cost]]*AZ17+tblSOW9[[#This Row],[External Expenses/Revenues USD]]*BL17/tblSOW9[[#This Row],[Duration]]</f>
        <v>1833.1208834990359</v>
      </c>
      <c r="AC17" s="74">
        <f>tblSOW9[[#This Row],[FTE Cost]]*tblSOW9[[#This Row],[% work on project]]*AO17/12+tblSOW9[[#This Row],[Task Cost]]*BA17+tblSOW9[[#This Row],[External Expenses/Revenues USD]]*BM17/tblSOW9[[#This Row],[Duration]]</f>
        <v>1833.1208834990359</v>
      </c>
      <c r="AD17" s="74">
        <f>tblSOW9[[#This Row],[FTE Cost]]*tblSOW9[[#This Row],[% work on project]]*AP17/12+tblSOW9[[#This Row],[Task Cost]]*BB17+tblSOW9[[#This Row],[External Expenses/Revenues USD]]*BN17/tblSOW9[[#This Row],[Duration]]</f>
        <v>1833.1208834990359</v>
      </c>
      <c r="AE17" s="74">
        <f>tblSOW9[[#This Row],[FTE Cost]]*tblSOW9[[#This Row],[% work on project]]*AQ17/12+tblSOW9[[#This Row],[Task Cost]]*BC17+tblSOW9[[#This Row],[External Expenses/Revenues USD]]*BO17/tblSOW9[[#This Row],[Duration]]</f>
        <v>1833.1208834990359</v>
      </c>
      <c r="AF17" s="74">
        <f>tblSOW9[[#This Row],[FTE Cost]]*tblSOW9[[#This Row],[% work on project]]*AR17/12+tblSOW9[[#This Row],[Task Cost]]*BD17+tblSOW9[[#This Row],[External Expenses/Revenues USD]]*BP17/tblSOW9[[#This Row],[Duration]]</f>
        <v>1833.1208834990359</v>
      </c>
      <c r="AG17" s="74">
        <f>tblSOW9[[#This Row],[FTE Cost]]*tblSOW9[[#This Row],[% work on project]]*AS17/12+tblSOW9[[#This Row],[Task Cost]]*BE17+tblSOW9[[#This Row],[External Expenses/Revenues USD]]*BQ17/tblSOW9[[#This Row],[Duration]]</f>
        <v>1833.1208834990359</v>
      </c>
      <c r="AH17" s="74">
        <f>tblSOW9[[#This Row],[FTE Cost]]*tblSOW9[[#This Row],[% work on project]]*AT17/12+tblSOW9[[#This Row],[Task Cost]]*BF17+tblSOW9[[#This Row],[External Expenses/Revenues USD]]*BR17/tblSOW9[[#This Row],[Duration]]</f>
        <v>1833.1208834990359</v>
      </c>
      <c r="AI17" s="74">
        <f>tblSOW9[[#This Row],[FTE Cost]]*tblSOW9[[#This Row],[% work on project]]*AU17/12+tblSOW9[[#This Row],[Task Cost]]*BG17+tblSOW9[[#This Row],[External Expenses/Revenues USD]]*BS17/tblSOW9[[#This Row],[Duration]]</f>
        <v>1833.1208834990359</v>
      </c>
      <c r="AJ17" s="74">
        <f>tblSOW9[[#This Row],[FTE Cost]]*tblSOW9[[#This Row],[% work on project]]*AV17/12+tblSOW9[[#This Row],[Task Cost]]*BH17+tblSOW9[[#This Row],[External Expenses/Revenues USD]]*BT17/tblSOW9[[#This Row],[Duration]]</f>
        <v>1833.1208834990359</v>
      </c>
      <c r="AK17" s="74">
        <f t="shared" si="4"/>
        <v>1</v>
      </c>
      <c r="AL17" s="74">
        <f t="shared" si="4"/>
        <v>1</v>
      </c>
      <c r="AM17" s="74">
        <f t="shared" si="4"/>
        <v>1</v>
      </c>
      <c r="AN17" s="74">
        <f t="shared" si="4"/>
        <v>1</v>
      </c>
      <c r="AO17" s="74">
        <f t="shared" si="4"/>
        <v>1</v>
      </c>
      <c r="AP17" s="74">
        <f t="shared" si="4"/>
        <v>1</v>
      </c>
      <c r="AQ17" s="74">
        <f t="shared" si="4"/>
        <v>1</v>
      </c>
      <c r="AR17" s="74">
        <f t="shared" si="4"/>
        <v>1</v>
      </c>
      <c r="AS17" s="74">
        <f t="shared" si="4"/>
        <v>1</v>
      </c>
      <c r="AT17" s="74">
        <f t="shared" si="4"/>
        <v>1</v>
      </c>
      <c r="AU17" s="74">
        <f t="shared" si="4"/>
        <v>1</v>
      </c>
      <c r="AV17" s="74">
        <f t="shared" si="4"/>
        <v>1</v>
      </c>
      <c r="AW17" s="74">
        <f t="shared" si="5"/>
        <v>1.8333333333333333</v>
      </c>
      <c r="AX17" s="74">
        <f t="shared" si="5"/>
        <v>1.8333333333333333</v>
      </c>
      <c r="AY17" s="74">
        <f t="shared" si="5"/>
        <v>1.8333333333333333</v>
      </c>
      <c r="AZ17" s="74">
        <f t="shared" si="5"/>
        <v>1.8333333333333333</v>
      </c>
      <c r="BA17" s="74">
        <f t="shared" si="5"/>
        <v>1.8333333333333333</v>
      </c>
      <c r="BB17" s="74">
        <f t="shared" si="5"/>
        <v>1.8333333333333333</v>
      </c>
      <c r="BC17" s="74">
        <f t="shared" si="5"/>
        <v>1.8333333333333333</v>
      </c>
      <c r="BD17" s="74">
        <f t="shared" si="5"/>
        <v>1.8333333333333333</v>
      </c>
      <c r="BE17" s="74">
        <f t="shared" si="5"/>
        <v>1.8333333333333333</v>
      </c>
      <c r="BF17" s="74">
        <f t="shared" si="5"/>
        <v>1.8333333333333333</v>
      </c>
      <c r="BG17" s="74">
        <f t="shared" si="5"/>
        <v>1.8333333333333333</v>
      </c>
      <c r="BH17" s="74">
        <f t="shared" si="5"/>
        <v>1.8333333333333333</v>
      </c>
      <c r="BI17" s="74">
        <f t="shared" si="6"/>
        <v>1</v>
      </c>
      <c r="BJ17" s="74">
        <f t="shared" si="6"/>
        <v>1</v>
      </c>
      <c r="BK17" s="74">
        <f t="shared" si="6"/>
        <v>1</v>
      </c>
      <c r="BL17" s="74">
        <f t="shared" si="6"/>
        <v>1</v>
      </c>
      <c r="BM17" s="74">
        <f t="shared" si="6"/>
        <v>1</v>
      </c>
      <c r="BN17" s="74">
        <f t="shared" si="6"/>
        <v>1</v>
      </c>
      <c r="BO17" s="74">
        <f t="shared" si="6"/>
        <v>1</v>
      </c>
      <c r="BP17" s="74">
        <f t="shared" si="6"/>
        <v>1</v>
      </c>
      <c r="BQ17" s="74">
        <f t="shared" si="6"/>
        <v>1</v>
      </c>
      <c r="BR17" s="74">
        <f t="shared" si="6"/>
        <v>1</v>
      </c>
      <c r="BS17" s="74">
        <f t="shared" si="6"/>
        <v>1</v>
      </c>
      <c r="BT17" s="74">
        <f t="shared" si="6"/>
        <v>1</v>
      </c>
      <c r="BU17" s="74">
        <f>SUM(tblSOW9[[#This Row],[P1]:[P12]])</f>
        <v>12</v>
      </c>
      <c r="BV17" s="74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17" s="74">
        <f>IFERROR(VLOOKUP(K17,[32]Parameters!BN:BW,10,0),0)</f>
        <v>999.88411827220148</v>
      </c>
    </row>
    <row r="18" spans="1:75" s="75" customFormat="1">
      <c r="A18" s="67" t="str">
        <f>CONCATENATE(INDEX([32]Parameters!$U$1:$V$20,MATCH(C18,[32]Parameters!$V$1:$V$20,0),1),"/",VLOOKUP(D18,[32]Parameters!$CG$1:$CH$12,2,0),".",E18,".",H18,".",LEFT(J18,3),"-",LEFT(K18,4))</f>
        <v>B80/20.P278.405.950-T103</v>
      </c>
      <c r="B18" s="67" t="s">
        <v>111</v>
      </c>
      <c r="C18" s="67" t="s">
        <v>164</v>
      </c>
      <c r="D18" s="39" t="s">
        <v>95</v>
      </c>
      <c r="E18" s="40" t="str">
        <f>VLOOKUP(F18,[32]Parameters!P:T,4,0)</f>
        <v>P278</v>
      </c>
      <c r="F18" s="39" t="s">
        <v>168</v>
      </c>
      <c r="G18" s="67" t="s">
        <v>125</v>
      </c>
      <c r="H18" s="67">
        <f>INDEX([32]Parameters!$B:$C,MATCH(I18,[32]Parameters!$C:$C,0),1)</f>
        <v>405</v>
      </c>
      <c r="I18" s="68" t="s">
        <v>98</v>
      </c>
      <c r="J18" s="68" t="s">
        <v>94</v>
      </c>
      <c r="K18" s="68" t="s">
        <v>99</v>
      </c>
      <c r="L18" s="68" t="str">
        <f>IFERROR(VLOOKUP(tblSOW9[[#This Row],[Employee name ]],[32]Parameters!CP:CS,4,0),"")</f>
        <v/>
      </c>
      <c r="M18" s="91"/>
      <c r="N18" s="67"/>
      <c r="O18" s="76"/>
      <c r="P18" s="72">
        <v>44927</v>
      </c>
      <c r="Q18" s="72">
        <v>45291</v>
      </c>
      <c r="R18" s="67"/>
      <c r="S18" s="67">
        <f t="shared" si="0"/>
        <v>12</v>
      </c>
      <c r="T18" s="68"/>
      <c r="U18" s="68">
        <v>44</v>
      </c>
      <c r="V18" s="68"/>
      <c r="W18" s="68" t="str">
        <f>IF(AND(ISNUMBER(SEARCH("-T",tblSOW9[[#This Row],[Budget Item]])),NOT(ISNUMBER(tblSOW9[[#This Row],[Task Units]]))),"Please Enter Task Units",
IF(AND(ISNUMBER(SEARCH("-E000",tblSOW9[[#This Row],[Budget Item]])),NOT(ISNUMBER(tblSOW9[[#This Row],[% work on project]]))),"Please Enter Organic FTE",
IF(AND(ISNUMBER(SEARCH("-E999",tblSOW9[[#This Row],[Budget Item]])),NOT(ISNUMBER(tblSOW9[[#This Row],[External Expenses/Revenues USD]]))),"Please Enter External Expenses",
"")))</f>
        <v/>
      </c>
      <c r="X18" s="67">
        <f>SUM(tblSOW9[[#This Row],[Jan 2023 USD]:[Dec 2023 USD]])</f>
        <v>34973.068755968932</v>
      </c>
      <c r="Y18" s="74">
        <f>tblSOW9[[#This Row],[FTE Cost]]*tblSOW9[[#This Row],[% work on project]]*AK18/12+tblSOW9[[#This Row],[Task Cost]]*AW18+tblSOW9[[#This Row],[External Expenses/Revenues USD]]*BI18/tblSOW9[[#This Row],[Duration]]</f>
        <v>2914.4223963307445</v>
      </c>
      <c r="Z18" s="74">
        <f>tblSOW9[[#This Row],[FTE Cost]]*tblSOW9[[#This Row],[% work on project]]*AL18/12+tblSOW9[[#This Row],[Task Cost]]*AX18+tblSOW9[[#This Row],[External Expenses/Revenues USD]]*BJ18/tblSOW9[[#This Row],[Duration]]</f>
        <v>2914.4223963307445</v>
      </c>
      <c r="AA18" s="74">
        <f>tblSOW9[[#This Row],[FTE Cost]]*tblSOW9[[#This Row],[% work on project]]*AM18/12+tblSOW9[[#This Row],[Task Cost]]*AY18+tblSOW9[[#This Row],[External Expenses/Revenues USD]]*BK18/tblSOW9[[#This Row],[Duration]]</f>
        <v>2914.4223963307445</v>
      </c>
      <c r="AB18" s="74">
        <f>tblSOW9[[#This Row],[FTE Cost]]*tblSOW9[[#This Row],[% work on project]]*AN18/12+tblSOW9[[#This Row],[Task Cost]]*AZ18+tblSOW9[[#This Row],[External Expenses/Revenues USD]]*BL18/tblSOW9[[#This Row],[Duration]]</f>
        <v>2914.4223963307445</v>
      </c>
      <c r="AC18" s="74">
        <f>tblSOW9[[#This Row],[FTE Cost]]*tblSOW9[[#This Row],[% work on project]]*AO18/12+tblSOW9[[#This Row],[Task Cost]]*BA18+tblSOW9[[#This Row],[External Expenses/Revenues USD]]*BM18/tblSOW9[[#This Row],[Duration]]</f>
        <v>2914.4223963307445</v>
      </c>
      <c r="AD18" s="74">
        <f>tblSOW9[[#This Row],[FTE Cost]]*tblSOW9[[#This Row],[% work on project]]*AP18/12+tblSOW9[[#This Row],[Task Cost]]*BB18+tblSOW9[[#This Row],[External Expenses/Revenues USD]]*BN18/tblSOW9[[#This Row],[Duration]]</f>
        <v>2914.4223963307445</v>
      </c>
      <c r="AE18" s="74">
        <f>tblSOW9[[#This Row],[FTE Cost]]*tblSOW9[[#This Row],[% work on project]]*AQ18/12+tblSOW9[[#This Row],[Task Cost]]*BC18+tblSOW9[[#This Row],[External Expenses/Revenues USD]]*BO18/tblSOW9[[#This Row],[Duration]]</f>
        <v>2914.4223963307445</v>
      </c>
      <c r="AF18" s="74">
        <f>tblSOW9[[#This Row],[FTE Cost]]*tblSOW9[[#This Row],[% work on project]]*AR18/12+tblSOW9[[#This Row],[Task Cost]]*BD18+tblSOW9[[#This Row],[External Expenses/Revenues USD]]*BP18/tblSOW9[[#This Row],[Duration]]</f>
        <v>2914.4223963307445</v>
      </c>
      <c r="AG18" s="74">
        <f>tblSOW9[[#This Row],[FTE Cost]]*tblSOW9[[#This Row],[% work on project]]*AS18/12+tblSOW9[[#This Row],[Task Cost]]*BE18+tblSOW9[[#This Row],[External Expenses/Revenues USD]]*BQ18/tblSOW9[[#This Row],[Duration]]</f>
        <v>2914.4223963307445</v>
      </c>
      <c r="AH18" s="74">
        <f>tblSOW9[[#This Row],[FTE Cost]]*tblSOW9[[#This Row],[% work on project]]*AT18/12+tblSOW9[[#This Row],[Task Cost]]*BF18+tblSOW9[[#This Row],[External Expenses/Revenues USD]]*BR18/tblSOW9[[#This Row],[Duration]]</f>
        <v>2914.4223963307445</v>
      </c>
      <c r="AI18" s="74">
        <f>tblSOW9[[#This Row],[FTE Cost]]*tblSOW9[[#This Row],[% work on project]]*AU18/12+tblSOW9[[#This Row],[Task Cost]]*BG18+tblSOW9[[#This Row],[External Expenses/Revenues USD]]*BS18/tblSOW9[[#This Row],[Duration]]</f>
        <v>2914.4223963307445</v>
      </c>
      <c r="AJ18" s="74">
        <f>tblSOW9[[#This Row],[FTE Cost]]*tblSOW9[[#This Row],[% work on project]]*AV18/12+tblSOW9[[#This Row],[Task Cost]]*BH18+tblSOW9[[#This Row],[External Expenses/Revenues USD]]*BT18/tblSOW9[[#This Row],[Duration]]</f>
        <v>2914.4223963307445</v>
      </c>
      <c r="AK18" s="74">
        <f t="shared" si="4"/>
        <v>1</v>
      </c>
      <c r="AL18" s="74">
        <f t="shared" si="4"/>
        <v>1</v>
      </c>
      <c r="AM18" s="74">
        <f t="shared" si="4"/>
        <v>1</v>
      </c>
      <c r="AN18" s="74">
        <f t="shared" si="4"/>
        <v>1</v>
      </c>
      <c r="AO18" s="74">
        <f t="shared" si="4"/>
        <v>1</v>
      </c>
      <c r="AP18" s="74">
        <f t="shared" si="4"/>
        <v>1</v>
      </c>
      <c r="AQ18" s="74">
        <f t="shared" si="4"/>
        <v>1</v>
      </c>
      <c r="AR18" s="74">
        <f t="shared" si="4"/>
        <v>1</v>
      </c>
      <c r="AS18" s="74">
        <f t="shared" si="4"/>
        <v>1</v>
      </c>
      <c r="AT18" s="74">
        <f t="shared" si="4"/>
        <v>1</v>
      </c>
      <c r="AU18" s="74">
        <f t="shared" si="4"/>
        <v>1</v>
      </c>
      <c r="AV18" s="74">
        <f t="shared" si="4"/>
        <v>1</v>
      </c>
      <c r="AW18" s="74">
        <f t="shared" si="5"/>
        <v>3.6666666666666665</v>
      </c>
      <c r="AX18" s="74">
        <f t="shared" si="5"/>
        <v>3.6666666666666665</v>
      </c>
      <c r="AY18" s="74">
        <f t="shared" si="5"/>
        <v>3.6666666666666665</v>
      </c>
      <c r="AZ18" s="74">
        <f t="shared" si="5"/>
        <v>3.6666666666666665</v>
      </c>
      <c r="BA18" s="74">
        <f t="shared" si="5"/>
        <v>3.6666666666666665</v>
      </c>
      <c r="BB18" s="74">
        <f t="shared" si="5"/>
        <v>3.6666666666666665</v>
      </c>
      <c r="BC18" s="74">
        <f t="shared" si="5"/>
        <v>3.6666666666666665</v>
      </c>
      <c r="BD18" s="74">
        <f t="shared" si="5"/>
        <v>3.6666666666666665</v>
      </c>
      <c r="BE18" s="74">
        <f t="shared" si="5"/>
        <v>3.6666666666666665</v>
      </c>
      <c r="BF18" s="74">
        <f t="shared" si="5"/>
        <v>3.6666666666666665</v>
      </c>
      <c r="BG18" s="74">
        <f t="shared" si="5"/>
        <v>3.6666666666666665</v>
      </c>
      <c r="BH18" s="74">
        <f t="shared" si="5"/>
        <v>3.6666666666666665</v>
      </c>
      <c r="BI18" s="74">
        <f t="shared" si="6"/>
        <v>1</v>
      </c>
      <c r="BJ18" s="74">
        <f t="shared" si="6"/>
        <v>1</v>
      </c>
      <c r="BK18" s="74">
        <f t="shared" si="6"/>
        <v>1</v>
      </c>
      <c r="BL18" s="74">
        <f t="shared" si="6"/>
        <v>1</v>
      </c>
      <c r="BM18" s="74">
        <f t="shared" si="6"/>
        <v>1</v>
      </c>
      <c r="BN18" s="74">
        <f t="shared" si="6"/>
        <v>1</v>
      </c>
      <c r="BO18" s="74">
        <f t="shared" si="6"/>
        <v>1</v>
      </c>
      <c r="BP18" s="74">
        <f t="shared" si="6"/>
        <v>1</v>
      </c>
      <c r="BQ18" s="74">
        <f t="shared" si="6"/>
        <v>1</v>
      </c>
      <c r="BR18" s="74">
        <f t="shared" si="6"/>
        <v>1</v>
      </c>
      <c r="BS18" s="74">
        <f t="shared" si="6"/>
        <v>1</v>
      </c>
      <c r="BT18" s="74">
        <f t="shared" si="6"/>
        <v>1</v>
      </c>
      <c r="BU18" s="74">
        <f>SUM(tblSOW9[[#This Row],[P1]:[P12]])</f>
        <v>12</v>
      </c>
      <c r="BV18" s="74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18" s="74">
        <f>IFERROR(VLOOKUP(K18,[32]Parameters!BN:BW,10,0),0)</f>
        <v>794.84247172656671</v>
      </c>
    </row>
    <row r="19" spans="1:75" s="75" customFormat="1">
      <c r="A19" s="67" t="str">
        <f>CONCATENATE(INDEX([32]Parameters!$U$1:$V$20,MATCH(C19,[32]Parameters!$V$1:$V$20,0),1),"/",VLOOKUP(D19,[32]Parameters!$CG$1:$CH$12,2,0),".",E19,".",H19,".",LEFT(J19,3),"-",LEFT(K19,4))</f>
        <v>B80/20.P278.427.950-T109</v>
      </c>
      <c r="B19" s="67" t="s">
        <v>111</v>
      </c>
      <c r="C19" s="67" t="s">
        <v>164</v>
      </c>
      <c r="D19" s="39" t="s">
        <v>95</v>
      </c>
      <c r="E19" s="40" t="str">
        <f>VLOOKUP(F19,[32]Parameters!P:T,4,0)</f>
        <v>P278</v>
      </c>
      <c r="F19" s="39" t="s">
        <v>168</v>
      </c>
      <c r="G19" s="67" t="s">
        <v>125</v>
      </c>
      <c r="H19" s="67">
        <f>INDEX([32]Parameters!$B:$C,MATCH(I19,[32]Parameters!$C:$C,0),1)</f>
        <v>427</v>
      </c>
      <c r="I19" s="68" t="s">
        <v>104</v>
      </c>
      <c r="J19" s="68" t="s">
        <v>94</v>
      </c>
      <c r="K19" s="68" t="s">
        <v>105</v>
      </c>
      <c r="L19" s="68" t="str">
        <f>IFERROR(VLOOKUP(tblSOW9[[#This Row],[Employee name ]],[32]Parameters!CP:CS,4,0),"")</f>
        <v/>
      </c>
      <c r="M19" s="91"/>
      <c r="N19" s="67"/>
      <c r="O19" s="76"/>
      <c r="P19" s="72">
        <v>44927</v>
      </c>
      <c r="Q19" s="72">
        <v>45291</v>
      </c>
      <c r="R19" s="67"/>
      <c r="S19" s="67">
        <f t="shared" si="0"/>
        <v>12</v>
      </c>
      <c r="T19" s="68"/>
      <c r="U19" s="68">
        <v>30</v>
      </c>
      <c r="V19" s="68"/>
      <c r="W19" s="68" t="str">
        <f>IF(AND(ISNUMBER(SEARCH("-T",tblSOW9[[#This Row],[Budget Item]])),NOT(ISNUMBER(tblSOW9[[#This Row],[Task Units]]))),"Please Enter Task Units",
IF(AND(ISNUMBER(SEARCH("-E000",tblSOW9[[#This Row],[Budget Item]])),NOT(ISNUMBER(tblSOW9[[#This Row],[% work on project]]))),"Please Enter Organic FTE",
IF(AND(ISNUMBER(SEARCH("-E999",tblSOW9[[#This Row],[Budget Item]])),NOT(ISNUMBER(tblSOW9[[#This Row],[External Expenses/Revenues USD]]))),"Please Enter External Expenses",
"")))</f>
        <v/>
      </c>
      <c r="X19" s="67">
        <f>SUM(tblSOW9[[#This Row],[Jan 2023 USD]:[Dec 2023 USD]])</f>
        <v>23091.438326676584</v>
      </c>
      <c r="Y19" s="74">
        <f>tblSOW9[[#This Row],[FTE Cost]]*tblSOW9[[#This Row],[% work on project]]*AK19/12+tblSOW9[[#This Row],[Task Cost]]*AW19+tblSOW9[[#This Row],[External Expenses/Revenues USD]]*BI19/tblSOW9[[#This Row],[Duration]]</f>
        <v>1924.2865272230488</v>
      </c>
      <c r="Z19" s="74">
        <f>tblSOW9[[#This Row],[FTE Cost]]*tblSOW9[[#This Row],[% work on project]]*AL19/12+tblSOW9[[#This Row],[Task Cost]]*AX19+tblSOW9[[#This Row],[External Expenses/Revenues USD]]*BJ19/tblSOW9[[#This Row],[Duration]]</f>
        <v>1924.2865272230488</v>
      </c>
      <c r="AA19" s="74">
        <f>tblSOW9[[#This Row],[FTE Cost]]*tblSOW9[[#This Row],[% work on project]]*AM19/12+tblSOW9[[#This Row],[Task Cost]]*AY19+tblSOW9[[#This Row],[External Expenses/Revenues USD]]*BK19/tblSOW9[[#This Row],[Duration]]</f>
        <v>1924.2865272230488</v>
      </c>
      <c r="AB19" s="74">
        <f>tblSOW9[[#This Row],[FTE Cost]]*tblSOW9[[#This Row],[% work on project]]*AN19/12+tblSOW9[[#This Row],[Task Cost]]*AZ19+tblSOW9[[#This Row],[External Expenses/Revenues USD]]*BL19/tblSOW9[[#This Row],[Duration]]</f>
        <v>1924.2865272230488</v>
      </c>
      <c r="AC19" s="74">
        <f>tblSOW9[[#This Row],[FTE Cost]]*tblSOW9[[#This Row],[% work on project]]*AO19/12+tblSOW9[[#This Row],[Task Cost]]*BA19+tblSOW9[[#This Row],[External Expenses/Revenues USD]]*BM19/tblSOW9[[#This Row],[Duration]]</f>
        <v>1924.2865272230488</v>
      </c>
      <c r="AD19" s="74">
        <f>tblSOW9[[#This Row],[FTE Cost]]*tblSOW9[[#This Row],[% work on project]]*AP19/12+tblSOW9[[#This Row],[Task Cost]]*BB19+tblSOW9[[#This Row],[External Expenses/Revenues USD]]*BN19/tblSOW9[[#This Row],[Duration]]</f>
        <v>1924.2865272230488</v>
      </c>
      <c r="AE19" s="74">
        <f>tblSOW9[[#This Row],[FTE Cost]]*tblSOW9[[#This Row],[% work on project]]*AQ19/12+tblSOW9[[#This Row],[Task Cost]]*BC19+tblSOW9[[#This Row],[External Expenses/Revenues USD]]*BO19/tblSOW9[[#This Row],[Duration]]</f>
        <v>1924.2865272230488</v>
      </c>
      <c r="AF19" s="74">
        <f>tblSOW9[[#This Row],[FTE Cost]]*tblSOW9[[#This Row],[% work on project]]*AR19/12+tblSOW9[[#This Row],[Task Cost]]*BD19+tblSOW9[[#This Row],[External Expenses/Revenues USD]]*BP19/tblSOW9[[#This Row],[Duration]]</f>
        <v>1924.2865272230488</v>
      </c>
      <c r="AG19" s="74">
        <f>tblSOW9[[#This Row],[FTE Cost]]*tblSOW9[[#This Row],[% work on project]]*AS19/12+tblSOW9[[#This Row],[Task Cost]]*BE19+tblSOW9[[#This Row],[External Expenses/Revenues USD]]*BQ19/tblSOW9[[#This Row],[Duration]]</f>
        <v>1924.2865272230488</v>
      </c>
      <c r="AH19" s="74">
        <f>tblSOW9[[#This Row],[FTE Cost]]*tblSOW9[[#This Row],[% work on project]]*AT19/12+tblSOW9[[#This Row],[Task Cost]]*BF19+tblSOW9[[#This Row],[External Expenses/Revenues USD]]*BR19/tblSOW9[[#This Row],[Duration]]</f>
        <v>1924.2865272230488</v>
      </c>
      <c r="AI19" s="74">
        <f>tblSOW9[[#This Row],[FTE Cost]]*tblSOW9[[#This Row],[% work on project]]*AU19/12+tblSOW9[[#This Row],[Task Cost]]*BG19+tblSOW9[[#This Row],[External Expenses/Revenues USD]]*BS19/tblSOW9[[#This Row],[Duration]]</f>
        <v>1924.2865272230488</v>
      </c>
      <c r="AJ19" s="74">
        <f>tblSOW9[[#This Row],[FTE Cost]]*tblSOW9[[#This Row],[% work on project]]*AV19/12+tblSOW9[[#This Row],[Task Cost]]*BH19+tblSOW9[[#This Row],[External Expenses/Revenues USD]]*BT19/tblSOW9[[#This Row],[Duration]]</f>
        <v>1924.2865272230488</v>
      </c>
      <c r="AK19" s="74">
        <f t="shared" si="4"/>
        <v>1</v>
      </c>
      <c r="AL19" s="74">
        <f t="shared" si="4"/>
        <v>1</v>
      </c>
      <c r="AM19" s="74">
        <f t="shared" si="4"/>
        <v>1</v>
      </c>
      <c r="AN19" s="74">
        <f t="shared" si="4"/>
        <v>1</v>
      </c>
      <c r="AO19" s="74">
        <f t="shared" si="4"/>
        <v>1</v>
      </c>
      <c r="AP19" s="74">
        <f t="shared" si="4"/>
        <v>1</v>
      </c>
      <c r="AQ19" s="74">
        <f t="shared" si="4"/>
        <v>1</v>
      </c>
      <c r="AR19" s="74">
        <f t="shared" si="4"/>
        <v>1</v>
      </c>
      <c r="AS19" s="74">
        <f t="shared" si="4"/>
        <v>1</v>
      </c>
      <c r="AT19" s="74">
        <f t="shared" si="4"/>
        <v>1</v>
      </c>
      <c r="AU19" s="74">
        <f t="shared" si="4"/>
        <v>1</v>
      </c>
      <c r="AV19" s="74">
        <f t="shared" si="4"/>
        <v>1</v>
      </c>
      <c r="AW19" s="74">
        <f t="shared" si="5"/>
        <v>2.5</v>
      </c>
      <c r="AX19" s="74">
        <f t="shared" si="5"/>
        <v>2.5</v>
      </c>
      <c r="AY19" s="74">
        <f t="shared" si="5"/>
        <v>2.5</v>
      </c>
      <c r="AZ19" s="74">
        <f t="shared" si="5"/>
        <v>2.5</v>
      </c>
      <c r="BA19" s="74">
        <f t="shared" si="5"/>
        <v>2.5</v>
      </c>
      <c r="BB19" s="74">
        <f t="shared" si="5"/>
        <v>2.5</v>
      </c>
      <c r="BC19" s="74">
        <f t="shared" si="5"/>
        <v>2.5</v>
      </c>
      <c r="BD19" s="74">
        <f t="shared" si="5"/>
        <v>2.5</v>
      </c>
      <c r="BE19" s="74">
        <f t="shared" si="5"/>
        <v>2.5</v>
      </c>
      <c r="BF19" s="74">
        <f t="shared" si="5"/>
        <v>2.5</v>
      </c>
      <c r="BG19" s="74">
        <f t="shared" si="5"/>
        <v>2.5</v>
      </c>
      <c r="BH19" s="74">
        <f t="shared" si="5"/>
        <v>2.5</v>
      </c>
      <c r="BI19" s="74">
        <f t="shared" si="6"/>
        <v>1</v>
      </c>
      <c r="BJ19" s="74">
        <f t="shared" si="6"/>
        <v>1</v>
      </c>
      <c r="BK19" s="74">
        <f t="shared" si="6"/>
        <v>1</v>
      </c>
      <c r="BL19" s="74">
        <f t="shared" si="6"/>
        <v>1</v>
      </c>
      <c r="BM19" s="74">
        <f t="shared" si="6"/>
        <v>1</v>
      </c>
      <c r="BN19" s="74">
        <f t="shared" si="6"/>
        <v>1</v>
      </c>
      <c r="BO19" s="74">
        <f t="shared" si="6"/>
        <v>1</v>
      </c>
      <c r="BP19" s="74">
        <f t="shared" si="6"/>
        <v>1</v>
      </c>
      <c r="BQ19" s="74">
        <f t="shared" si="6"/>
        <v>1</v>
      </c>
      <c r="BR19" s="74">
        <f t="shared" si="6"/>
        <v>1</v>
      </c>
      <c r="BS19" s="74">
        <f t="shared" si="6"/>
        <v>1</v>
      </c>
      <c r="BT19" s="74">
        <f t="shared" si="6"/>
        <v>1</v>
      </c>
      <c r="BU19" s="74">
        <f>SUM(tblSOW9[[#This Row],[P1]:[P12]])</f>
        <v>12</v>
      </c>
      <c r="BV19" s="74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19" s="74">
        <f>IFERROR(VLOOKUP(K19,[32]Parameters!BN:BW,10,0),0)</f>
        <v>769.71461088921956</v>
      </c>
    </row>
    <row r="20" spans="1:75" s="75" customFormat="1">
      <c r="A20" s="67" t="str">
        <f>CONCATENATE(INDEX([32]Parameters!$U$1:$V$20,MATCH(C20,[32]Parameters!$V$1:$V$20,0),1),"/",VLOOKUP(D20,[32]Parameters!$CG$1:$CH$12,2,0),".",E20,".",H20,".",LEFT(J20,3),"-",LEFT(K20,4))</f>
        <v>B80/20.P265.404.950-T102</v>
      </c>
      <c r="B20" s="67" t="s">
        <v>111</v>
      </c>
      <c r="C20" s="67" t="s">
        <v>164</v>
      </c>
      <c r="D20" s="39" t="s">
        <v>95</v>
      </c>
      <c r="E20" s="40" t="str">
        <f>VLOOKUP(F20,[32]Parameters!P:T,4,0)</f>
        <v>P265</v>
      </c>
      <c r="F20" s="39" t="s">
        <v>169</v>
      </c>
      <c r="G20" s="67" t="s">
        <v>125</v>
      </c>
      <c r="H20" s="67">
        <f>INDEX([32]Parameters!$B:$C,MATCH(I20,[32]Parameters!$C:$C,0),1)</f>
        <v>404</v>
      </c>
      <c r="I20" s="68" t="s">
        <v>101</v>
      </c>
      <c r="J20" s="68" t="s">
        <v>94</v>
      </c>
      <c r="K20" s="68" t="s">
        <v>102</v>
      </c>
      <c r="L20" s="68" t="str">
        <f>IFERROR(VLOOKUP(tblSOW9[[#This Row],[Employee name ]],[32]Parameters!CP:CS,4,0),"")</f>
        <v/>
      </c>
      <c r="M20" s="91"/>
      <c r="N20" s="67"/>
      <c r="O20" s="76"/>
      <c r="P20" s="72">
        <v>44927</v>
      </c>
      <c r="Q20" s="72">
        <v>45291</v>
      </c>
      <c r="R20" s="67"/>
      <c r="S20" s="67">
        <f t="shared" si="0"/>
        <v>12</v>
      </c>
      <c r="T20" s="68"/>
      <c r="U20" s="68">
        <v>35</v>
      </c>
      <c r="V20" s="68"/>
      <c r="W20" s="68" t="str">
        <f>IF(AND(ISNUMBER(SEARCH("-T",tblSOW9[[#This Row],[Budget Item]])),NOT(ISNUMBER(tblSOW9[[#This Row],[Task Units]]))),"Please Enter Task Units",
IF(AND(ISNUMBER(SEARCH("-E000",tblSOW9[[#This Row],[Budget Item]])),NOT(ISNUMBER(tblSOW9[[#This Row],[% work on project]]))),"Please Enter Organic FTE",
IF(AND(ISNUMBER(SEARCH("-E999",tblSOW9[[#This Row],[Budget Item]])),NOT(ISNUMBER(tblSOW9[[#This Row],[External Expenses/Revenues USD]]))),"Please Enter External Expenses",
"")))</f>
        <v/>
      </c>
      <c r="X20" s="67">
        <f>SUM(tblSOW9[[#This Row],[Jan 2023 USD]:[Dec 2023 USD]])</f>
        <v>33421.243465237356</v>
      </c>
      <c r="Y20" s="74">
        <f>tblSOW9[[#This Row],[FTE Cost]]*tblSOW9[[#This Row],[% work on project]]*AK20/12+tblSOW9[[#This Row],[Task Cost]]*AW20+tblSOW9[[#This Row],[External Expenses/Revenues USD]]*BI20/tblSOW9[[#This Row],[Duration]]</f>
        <v>2785.1036221031127</v>
      </c>
      <c r="Z20" s="74">
        <f>tblSOW9[[#This Row],[FTE Cost]]*tblSOW9[[#This Row],[% work on project]]*AL20/12+tblSOW9[[#This Row],[Task Cost]]*AX20+tblSOW9[[#This Row],[External Expenses/Revenues USD]]*BJ20/tblSOW9[[#This Row],[Duration]]</f>
        <v>2785.1036221031127</v>
      </c>
      <c r="AA20" s="74">
        <f>tblSOW9[[#This Row],[FTE Cost]]*tblSOW9[[#This Row],[% work on project]]*AM20/12+tblSOW9[[#This Row],[Task Cost]]*AY20+tblSOW9[[#This Row],[External Expenses/Revenues USD]]*BK20/tblSOW9[[#This Row],[Duration]]</f>
        <v>2785.1036221031127</v>
      </c>
      <c r="AB20" s="74">
        <f>tblSOW9[[#This Row],[FTE Cost]]*tblSOW9[[#This Row],[% work on project]]*AN20/12+tblSOW9[[#This Row],[Task Cost]]*AZ20+tblSOW9[[#This Row],[External Expenses/Revenues USD]]*BL20/tblSOW9[[#This Row],[Duration]]</f>
        <v>2785.1036221031127</v>
      </c>
      <c r="AC20" s="74">
        <f>tblSOW9[[#This Row],[FTE Cost]]*tblSOW9[[#This Row],[% work on project]]*AO20/12+tblSOW9[[#This Row],[Task Cost]]*BA20+tblSOW9[[#This Row],[External Expenses/Revenues USD]]*BM20/tblSOW9[[#This Row],[Duration]]</f>
        <v>2785.1036221031127</v>
      </c>
      <c r="AD20" s="74">
        <f>tblSOW9[[#This Row],[FTE Cost]]*tblSOW9[[#This Row],[% work on project]]*AP20/12+tblSOW9[[#This Row],[Task Cost]]*BB20+tblSOW9[[#This Row],[External Expenses/Revenues USD]]*BN20/tblSOW9[[#This Row],[Duration]]</f>
        <v>2785.1036221031127</v>
      </c>
      <c r="AE20" s="74">
        <f>tblSOW9[[#This Row],[FTE Cost]]*tblSOW9[[#This Row],[% work on project]]*AQ20/12+tblSOW9[[#This Row],[Task Cost]]*BC20+tblSOW9[[#This Row],[External Expenses/Revenues USD]]*BO20/tblSOW9[[#This Row],[Duration]]</f>
        <v>2785.1036221031127</v>
      </c>
      <c r="AF20" s="74">
        <f>tblSOW9[[#This Row],[FTE Cost]]*tblSOW9[[#This Row],[% work on project]]*AR20/12+tblSOW9[[#This Row],[Task Cost]]*BD20+tblSOW9[[#This Row],[External Expenses/Revenues USD]]*BP20/tblSOW9[[#This Row],[Duration]]</f>
        <v>2785.1036221031127</v>
      </c>
      <c r="AG20" s="74">
        <f>tblSOW9[[#This Row],[FTE Cost]]*tblSOW9[[#This Row],[% work on project]]*AS20/12+tblSOW9[[#This Row],[Task Cost]]*BE20+tblSOW9[[#This Row],[External Expenses/Revenues USD]]*BQ20/tblSOW9[[#This Row],[Duration]]</f>
        <v>2785.1036221031127</v>
      </c>
      <c r="AH20" s="74">
        <f>tblSOW9[[#This Row],[FTE Cost]]*tblSOW9[[#This Row],[% work on project]]*AT20/12+tblSOW9[[#This Row],[Task Cost]]*BF20+tblSOW9[[#This Row],[External Expenses/Revenues USD]]*BR20/tblSOW9[[#This Row],[Duration]]</f>
        <v>2785.1036221031127</v>
      </c>
      <c r="AI20" s="74">
        <f>tblSOW9[[#This Row],[FTE Cost]]*tblSOW9[[#This Row],[% work on project]]*AU20/12+tblSOW9[[#This Row],[Task Cost]]*BG20+tblSOW9[[#This Row],[External Expenses/Revenues USD]]*BS20/tblSOW9[[#This Row],[Duration]]</f>
        <v>2785.1036221031127</v>
      </c>
      <c r="AJ20" s="74">
        <f>tblSOW9[[#This Row],[FTE Cost]]*tblSOW9[[#This Row],[% work on project]]*AV20/12+tblSOW9[[#This Row],[Task Cost]]*BH20+tblSOW9[[#This Row],[External Expenses/Revenues USD]]*BT20/tblSOW9[[#This Row],[Duration]]</f>
        <v>2785.1036221031127</v>
      </c>
      <c r="AK20" s="74">
        <f t="shared" si="4"/>
        <v>1</v>
      </c>
      <c r="AL20" s="74">
        <f t="shared" si="4"/>
        <v>1</v>
      </c>
      <c r="AM20" s="74">
        <f t="shared" si="4"/>
        <v>1</v>
      </c>
      <c r="AN20" s="74">
        <f t="shared" si="4"/>
        <v>1</v>
      </c>
      <c r="AO20" s="74">
        <f t="shared" si="4"/>
        <v>1</v>
      </c>
      <c r="AP20" s="74">
        <f t="shared" si="4"/>
        <v>1</v>
      </c>
      <c r="AQ20" s="74">
        <f t="shared" si="4"/>
        <v>1</v>
      </c>
      <c r="AR20" s="74">
        <f t="shared" si="4"/>
        <v>1</v>
      </c>
      <c r="AS20" s="74">
        <f t="shared" si="4"/>
        <v>1</v>
      </c>
      <c r="AT20" s="74">
        <f t="shared" si="4"/>
        <v>1</v>
      </c>
      <c r="AU20" s="74">
        <f t="shared" si="4"/>
        <v>1</v>
      </c>
      <c r="AV20" s="74">
        <f t="shared" si="4"/>
        <v>1</v>
      </c>
      <c r="AW20" s="74">
        <f t="shared" si="5"/>
        <v>2.9166666666666665</v>
      </c>
      <c r="AX20" s="74">
        <f t="shared" si="5"/>
        <v>2.9166666666666665</v>
      </c>
      <c r="AY20" s="74">
        <f t="shared" si="5"/>
        <v>2.9166666666666665</v>
      </c>
      <c r="AZ20" s="74">
        <f t="shared" si="5"/>
        <v>2.9166666666666665</v>
      </c>
      <c r="BA20" s="74">
        <f t="shared" si="5"/>
        <v>2.9166666666666665</v>
      </c>
      <c r="BB20" s="74">
        <f t="shared" si="5"/>
        <v>2.9166666666666665</v>
      </c>
      <c r="BC20" s="74">
        <f t="shared" si="5"/>
        <v>2.9166666666666665</v>
      </c>
      <c r="BD20" s="74">
        <f t="shared" si="5"/>
        <v>2.9166666666666665</v>
      </c>
      <c r="BE20" s="74">
        <f t="shared" si="5"/>
        <v>2.9166666666666665</v>
      </c>
      <c r="BF20" s="74">
        <f t="shared" si="5"/>
        <v>2.9166666666666665</v>
      </c>
      <c r="BG20" s="74">
        <f t="shared" si="5"/>
        <v>2.9166666666666665</v>
      </c>
      <c r="BH20" s="74">
        <f t="shared" si="5"/>
        <v>2.9166666666666665</v>
      </c>
      <c r="BI20" s="74">
        <f t="shared" si="6"/>
        <v>1</v>
      </c>
      <c r="BJ20" s="74">
        <f t="shared" si="6"/>
        <v>1</v>
      </c>
      <c r="BK20" s="74">
        <f t="shared" si="6"/>
        <v>1</v>
      </c>
      <c r="BL20" s="74">
        <f t="shared" si="6"/>
        <v>1</v>
      </c>
      <c r="BM20" s="74">
        <f t="shared" si="6"/>
        <v>1</v>
      </c>
      <c r="BN20" s="74">
        <f t="shared" si="6"/>
        <v>1</v>
      </c>
      <c r="BO20" s="74">
        <f t="shared" si="6"/>
        <v>1</v>
      </c>
      <c r="BP20" s="74">
        <f t="shared" si="6"/>
        <v>1</v>
      </c>
      <c r="BQ20" s="74">
        <f t="shared" si="6"/>
        <v>1</v>
      </c>
      <c r="BR20" s="74">
        <f t="shared" si="6"/>
        <v>1</v>
      </c>
      <c r="BS20" s="74">
        <f t="shared" si="6"/>
        <v>1</v>
      </c>
      <c r="BT20" s="74">
        <f t="shared" si="6"/>
        <v>1</v>
      </c>
      <c r="BU20" s="74">
        <f>SUM(tblSOW9[[#This Row],[P1]:[P12]])</f>
        <v>12</v>
      </c>
      <c r="BV20" s="74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20" s="74">
        <f>IFERROR(VLOOKUP(K20,[32]Parameters!BN:BW,10,0),0)</f>
        <v>954.8926704353529</v>
      </c>
    </row>
    <row r="21" spans="1:75" s="75" customFormat="1">
      <c r="A21" s="67" t="str">
        <f>CONCATENATE(INDEX([32]Parameters!$U$1:$V$20,MATCH(C21,[32]Parameters!$V$1:$V$20,0),1),"/",VLOOKUP(D21,[32]Parameters!$CG$1:$CH$12,2,0),".",E21,".",H21,".",LEFT(J21,3),"-",LEFT(K21,4))</f>
        <v>B80/20.P265.427.950-T109</v>
      </c>
      <c r="B21" s="67" t="s">
        <v>111</v>
      </c>
      <c r="C21" s="67" t="s">
        <v>164</v>
      </c>
      <c r="D21" s="39" t="s">
        <v>95</v>
      </c>
      <c r="E21" s="40" t="str">
        <f>VLOOKUP(F21,[32]Parameters!P:T,4,0)</f>
        <v>P265</v>
      </c>
      <c r="F21" s="39" t="s">
        <v>169</v>
      </c>
      <c r="G21" s="67" t="s">
        <v>125</v>
      </c>
      <c r="H21" s="67">
        <f>INDEX([32]Parameters!$B:$C,MATCH(I21,[32]Parameters!$C:$C,0),1)</f>
        <v>427</v>
      </c>
      <c r="I21" s="68" t="s">
        <v>104</v>
      </c>
      <c r="J21" s="68" t="s">
        <v>94</v>
      </c>
      <c r="K21" s="68" t="s">
        <v>105</v>
      </c>
      <c r="L21" s="68" t="str">
        <f>IFERROR(VLOOKUP(tblSOW9[[#This Row],[Employee name ]],[32]Parameters!CP:CS,4,0),"")</f>
        <v/>
      </c>
      <c r="M21" s="91"/>
      <c r="N21" s="67"/>
      <c r="O21" s="76"/>
      <c r="P21" s="72">
        <v>44927</v>
      </c>
      <c r="Q21" s="72">
        <v>45291</v>
      </c>
      <c r="R21" s="67"/>
      <c r="S21" s="67">
        <f t="shared" si="0"/>
        <v>12</v>
      </c>
      <c r="T21" s="68"/>
      <c r="U21" s="68">
        <v>420</v>
      </c>
      <c r="V21" s="68"/>
      <c r="W21" s="68" t="str">
        <f>IF(AND(ISNUMBER(SEARCH("-T",tblSOW9[[#This Row],[Budget Item]])),NOT(ISNUMBER(tblSOW9[[#This Row],[Task Units]]))),"Please Enter Task Units",
IF(AND(ISNUMBER(SEARCH("-E000",tblSOW9[[#This Row],[Budget Item]])),NOT(ISNUMBER(tblSOW9[[#This Row],[% work on project]]))),"Please Enter Organic FTE",
IF(AND(ISNUMBER(SEARCH("-E999",tblSOW9[[#This Row],[Budget Item]])),NOT(ISNUMBER(tblSOW9[[#This Row],[External Expenses/Revenues USD]]))),"Please Enter External Expenses",
"")))</f>
        <v/>
      </c>
      <c r="X21" s="67">
        <f>SUM(tblSOW9[[#This Row],[Jan 2023 USD]:[Dec 2023 USD]])</f>
        <v>323280.13657347223</v>
      </c>
      <c r="Y21" s="74">
        <f>tblSOW9[[#This Row],[FTE Cost]]*tblSOW9[[#This Row],[% work on project]]*AK21/12+tblSOW9[[#This Row],[Task Cost]]*AW21+tblSOW9[[#This Row],[External Expenses/Revenues USD]]*BI21/tblSOW9[[#This Row],[Duration]]</f>
        <v>26940.011381122684</v>
      </c>
      <c r="Z21" s="74">
        <f>tblSOW9[[#This Row],[FTE Cost]]*tblSOW9[[#This Row],[% work on project]]*AL21/12+tblSOW9[[#This Row],[Task Cost]]*AX21+tblSOW9[[#This Row],[External Expenses/Revenues USD]]*BJ21/tblSOW9[[#This Row],[Duration]]</f>
        <v>26940.011381122684</v>
      </c>
      <c r="AA21" s="74">
        <f>tblSOW9[[#This Row],[FTE Cost]]*tblSOW9[[#This Row],[% work on project]]*AM21/12+tblSOW9[[#This Row],[Task Cost]]*AY21+tblSOW9[[#This Row],[External Expenses/Revenues USD]]*BK21/tblSOW9[[#This Row],[Duration]]</f>
        <v>26940.011381122684</v>
      </c>
      <c r="AB21" s="74">
        <f>tblSOW9[[#This Row],[FTE Cost]]*tblSOW9[[#This Row],[% work on project]]*AN21/12+tblSOW9[[#This Row],[Task Cost]]*AZ21+tblSOW9[[#This Row],[External Expenses/Revenues USD]]*BL21/tblSOW9[[#This Row],[Duration]]</f>
        <v>26940.011381122684</v>
      </c>
      <c r="AC21" s="74">
        <f>tblSOW9[[#This Row],[FTE Cost]]*tblSOW9[[#This Row],[% work on project]]*AO21/12+tblSOW9[[#This Row],[Task Cost]]*BA21+tblSOW9[[#This Row],[External Expenses/Revenues USD]]*BM21/tblSOW9[[#This Row],[Duration]]</f>
        <v>26940.011381122684</v>
      </c>
      <c r="AD21" s="74">
        <f>tblSOW9[[#This Row],[FTE Cost]]*tblSOW9[[#This Row],[% work on project]]*AP21/12+tblSOW9[[#This Row],[Task Cost]]*BB21+tblSOW9[[#This Row],[External Expenses/Revenues USD]]*BN21/tblSOW9[[#This Row],[Duration]]</f>
        <v>26940.011381122684</v>
      </c>
      <c r="AE21" s="74">
        <f>tblSOW9[[#This Row],[FTE Cost]]*tblSOW9[[#This Row],[% work on project]]*AQ21/12+tblSOW9[[#This Row],[Task Cost]]*BC21+tblSOW9[[#This Row],[External Expenses/Revenues USD]]*BO21/tblSOW9[[#This Row],[Duration]]</f>
        <v>26940.011381122684</v>
      </c>
      <c r="AF21" s="74">
        <f>tblSOW9[[#This Row],[FTE Cost]]*tblSOW9[[#This Row],[% work on project]]*AR21/12+tblSOW9[[#This Row],[Task Cost]]*BD21+tblSOW9[[#This Row],[External Expenses/Revenues USD]]*BP21/tblSOW9[[#This Row],[Duration]]</f>
        <v>26940.011381122684</v>
      </c>
      <c r="AG21" s="74">
        <f>tblSOW9[[#This Row],[FTE Cost]]*tblSOW9[[#This Row],[% work on project]]*AS21/12+tblSOW9[[#This Row],[Task Cost]]*BE21+tblSOW9[[#This Row],[External Expenses/Revenues USD]]*BQ21/tblSOW9[[#This Row],[Duration]]</f>
        <v>26940.011381122684</v>
      </c>
      <c r="AH21" s="74">
        <f>tblSOW9[[#This Row],[FTE Cost]]*tblSOW9[[#This Row],[% work on project]]*AT21/12+tblSOW9[[#This Row],[Task Cost]]*BF21+tblSOW9[[#This Row],[External Expenses/Revenues USD]]*BR21/tblSOW9[[#This Row],[Duration]]</f>
        <v>26940.011381122684</v>
      </c>
      <c r="AI21" s="74">
        <f>tblSOW9[[#This Row],[FTE Cost]]*tblSOW9[[#This Row],[% work on project]]*AU21/12+tblSOW9[[#This Row],[Task Cost]]*BG21+tblSOW9[[#This Row],[External Expenses/Revenues USD]]*BS21/tblSOW9[[#This Row],[Duration]]</f>
        <v>26940.011381122684</v>
      </c>
      <c r="AJ21" s="74">
        <f>tblSOW9[[#This Row],[FTE Cost]]*tblSOW9[[#This Row],[% work on project]]*AV21/12+tblSOW9[[#This Row],[Task Cost]]*BH21+tblSOW9[[#This Row],[External Expenses/Revenues USD]]*BT21/tblSOW9[[#This Row],[Duration]]</f>
        <v>26940.011381122684</v>
      </c>
      <c r="AK21" s="74">
        <f t="shared" si="4"/>
        <v>1</v>
      </c>
      <c r="AL21" s="74">
        <f t="shared" si="4"/>
        <v>1</v>
      </c>
      <c r="AM21" s="74">
        <f t="shared" si="4"/>
        <v>1</v>
      </c>
      <c r="AN21" s="74">
        <f t="shared" si="4"/>
        <v>1</v>
      </c>
      <c r="AO21" s="74">
        <f t="shared" si="4"/>
        <v>1</v>
      </c>
      <c r="AP21" s="74">
        <f t="shared" si="4"/>
        <v>1</v>
      </c>
      <c r="AQ21" s="74">
        <f t="shared" si="4"/>
        <v>1</v>
      </c>
      <c r="AR21" s="74">
        <f t="shared" si="4"/>
        <v>1</v>
      </c>
      <c r="AS21" s="74">
        <f t="shared" si="4"/>
        <v>1</v>
      </c>
      <c r="AT21" s="74">
        <f t="shared" si="4"/>
        <v>1</v>
      </c>
      <c r="AU21" s="74">
        <f t="shared" si="4"/>
        <v>1</v>
      </c>
      <c r="AV21" s="74">
        <f t="shared" si="4"/>
        <v>1</v>
      </c>
      <c r="AW21" s="74">
        <f t="shared" si="5"/>
        <v>35</v>
      </c>
      <c r="AX21" s="74">
        <f t="shared" si="5"/>
        <v>35</v>
      </c>
      <c r="AY21" s="74">
        <f t="shared" si="5"/>
        <v>35</v>
      </c>
      <c r="AZ21" s="74">
        <f t="shared" si="5"/>
        <v>35</v>
      </c>
      <c r="BA21" s="74">
        <f t="shared" si="5"/>
        <v>35</v>
      </c>
      <c r="BB21" s="74">
        <f t="shared" si="5"/>
        <v>35</v>
      </c>
      <c r="BC21" s="74">
        <f t="shared" si="5"/>
        <v>35</v>
      </c>
      <c r="BD21" s="74">
        <f t="shared" si="5"/>
        <v>35</v>
      </c>
      <c r="BE21" s="74">
        <f t="shared" si="5"/>
        <v>35</v>
      </c>
      <c r="BF21" s="74">
        <f t="shared" si="5"/>
        <v>35</v>
      </c>
      <c r="BG21" s="74">
        <f t="shared" si="5"/>
        <v>35</v>
      </c>
      <c r="BH21" s="74">
        <f t="shared" si="5"/>
        <v>35</v>
      </c>
      <c r="BI21" s="74">
        <f t="shared" si="6"/>
        <v>1</v>
      </c>
      <c r="BJ21" s="74">
        <f t="shared" si="6"/>
        <v>1</v>
      </c>
      <c r="BK21" s="74">
        <f t="shared" si="6"/>
        <v>1</v>
      </c>
      <c r="BL21" s="74">
        <f t="shared" si="6"/>
        <v>1</v>
      </c>
      <c r="BM21" s="74">
        <f t="shared" si="6"/>
        <v>1</v>
      </c>
      <c r="BN21" s="74">
        <f t="shared" si="6"/>
        <v>1</v>
      </c>
      <c r="BO21" s="74">
        <f t="shared" si="6"/>
        <v>1</v>
      </c>
      <c r="BP21" s="74">
        <f t="shared" si="6"/>
        <v>1</v>
      </c>
      <c r="BQ21" s="74">
        <f t="shared" si="6"/>
        <v>1</v>
      </c>
      <c r="BR21" s="74">
        <f t="shared" si="6"/>
        <v>1</v>
      </c>
      <c r="BS21" s="74">
        <f t="shared" si="6"/>
        <v>1</v>
      </c>
      <c r="BT21" s="74">
        <f t="shared" si="6"/>
        <v>1</v>
      </c>
      <c r="BU21" s="74">
        <f>SUM(tblSOW9[[#This Row],[P1]:[P12]])</f>
        <v>12</v>
      </c>
      <c r="BV21" s="74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21" s="74">
        <f>IFERROR(VLOOKUP(K21,[32]Parameters!BN:BW,10,0),0)</f>
        <v>769.71461088921956</v>
      </c>
    </row>
    <row r="22" spans="1:75" s="75" customFormat="1">
      <c r="A22" s="67" t="str">
        <f>CONCATENATE(INDEX([32]Parameters!$U$1:$V$20,MATCH(C22,[32]Parameters!$V$1:$V$20,0),1),"/",VLOOKUP(D22,[32]Parameters!$CG$1:$CH$12,2,0),".",E22,".",H22,".",LEFT(J22,3),"-",LEFT(K22,4))</f>
        <v>B80/20.P265.405.950-T103</v>
      </c>
      <c r="B22" s="67" t="s">
        <v>111</v>
      </c>
      <c r="C22" s="67" t="s">
        <v>164</v>
      </c>
      <c r="D22" s="39" t="s">
        <v>95</v>
      </c>
      <c r="E22" s="40" t="str">
        <f>VLOOKUP(F22,[32]Parameters!P:T,4,0)</f>
        <v>P265</v>
      </c>
      <c r="F22" s="39" t="s">
        <v>169</v>
      </c>
      <c r="G22" s="67" t="s">
        <v>125</v>
      </c>
      <c r="H22" s="67">
        <f>INDEX([32]Parameters!$B:$C,MATCH(I22,[32]Parameters!$C:$C,0),1)</f>
        <v>405</v>
      </c>
      <c r="I22" s="68" t="s">
        <v>98</v>
      </c>
      <c r="J22" s="68" t="s">
        <v>94</v>
      </c>
      <c r="K22" s="68" t="s">
        <v>99</v>
      </c>
      <c r="L22" s="68" t="str">
        <f>IFERROR(VLOOKUP(tblSOW9[[#This Row],[Employee name ]],[32]Parameters!CP:CS,4,0),"")</f>
        <v/>
      </c>
      <c r="M22" s="91"/>
      <c r="N22" s="67"/>
      <c r="O22" s="76"/>
      <c r="P22" s="72">
        <v>44927</v>
      </c>
      <c r="Q22" s="72">
        <v>45291</v>
      </c>
      <c r="R22" s="67"/>
      <c r="S22" s="67">
        <f t="shared" si="0"/>
        <v>12</v>
      </c>
      <c r="T22" s="68"/>
      <c r="U22" s="68">
        <v>162</v>
      </c>
      <c r="V22" s="68"/>
      <c r="W22" s="68" t="str">
        <f>IF(AND(ISNUMBER(SEARCH("-T",tblSOW9[[#This Row],[Budget Item]])),NOT(ISNUMBER(tblSOW9[[#This Row],[Task Units]]))),"Please Enter Task Units",
IF(AND(ISNUMBER(SEARCH("-E000",tblSOW9[[#This Row],[Budget Item]])),NOT(ISNUMBER(tblSOW9[[#This Row],[% work on project]]))),"Please Enter Organic FTE",
IF(AND(ISNUMBER(SEARCH("-E999",tblSOW9[[#This Row],[Budget Item]])),NOT(ISNUMBER(tblSOW9[[#This Row],[External Expenses/Revenues USD]]))),"Please Enter External Expenses",
"")))</f>
        <v/>
      </c>
      <c r="X22" s="67">
        <f>SUM(tblSOW9[[#This Row],[Jan 2023 USD]:[Dec 2023 USD]])</f>
        <v>128764.48041970377</v>
      </c>
      <c r="Y22" s="74">
        <f>tblSOW9[[#This Row],[FTE Cost]]*tblSOW9[[#This Row],[% work on project]]*AK22/12+tblSOW9[[#This Row],[Task Cost]]*AW22+tblSOW9[[#This Row],[External Expenses/Revenues USD]]*BI22/tblSOW9[[#This Row],[Duration]]</f>
        <v>10730.37336830865</v>
      </c>
      <c r="Z22" s="74">
        <f>tblSOW9[[#This Row],[FTE Cost]]*tblSOW9[[#This Row],[% work on project]]*AL22/12+tblSOW9[[#This Row],[Task Cost]]*AX22+tblSOW9[[#This Row],[External Expenses/Revenues USD]]*BJ22/tblSOW9[[#This Row],[Duration]]</f>
        <v>10730.37336830865</v>
      </c>
      <c r="AA22" s="74">
        <f>tblSOW9[[#This Row],[FTE Cost]]*tblSOW9[[#This Row],[% work on project]]*AM22/12+tblSOW9[[#This Row],[Task Cost]]*AY22+tblSOW9[[#This Row],[External Expenses/Revenues USD]]*BK22/tblSOW9[[#This Row],[Duration]]</f>
        <v>10730.37336830865</v>
      </c>
      <c r="AB22" s="74">
        <f>tblSOW9[[#This Row],[FTE Cost]]*tblSOW9[[#This Row],[% work on project]]*AN22/12+tblSOW9[[#This Row],[Task Cost]]*AZ22+tblSOW9[[#This Row],[External Expenses/Revenues USD]]*BL22/tblSOW9[[#This Row],[Duration]]</f>
        <v>10730.37336830865</v>
      </c>
      <c r="AC22" s="74">
        <f>tblSOW9[[#This Row],[FTE Cost]]*tblSOW9[[#This Row],[% work on project]]*AO22/12+tblSOW9[[#This Row],[Task Cost]]*BA22+tblSOW9[[#This Row],[External Expenses/Revenues USD]]*BM22/tblSOW9[[#This Row],[Duration]]</f>
        <v>10730.37336830865</v>
      </c>
      <c r="AD22" s="74">
        <f>tblSOW9[[#This Row],[FTE Cost]]*tblSOW9[[#This Row],[% work on project]]*AP22/12+tblSOW9[[#This Row],[Task Cost]]*BB22+tblSOW9[[#This Row],[External Expenses/Revenues USD]]*BN22/tblSOW9[[#This Row],[Duration]]</f>
        <v>10730.37336830865</v>
      </c>
      <c r="AE22" s="74">
        <f>tblSOW9[[#This Row],[FTE Cost]]*tblSOW9[[#This Row],[% work on project]]*AQ22/12+tblSOW9[[#This Row],[Task Cost]]*BC22+tblSOW9[[#This Row],[External Expenses/Revenues USD]]*BO22/tblSOW9[[#This Row],[Duration]]</f>
        <v>10730.37336830865</v>
      </c>
      <c r="AF22" s="74">
        <f>tblSOW9[[#This Row],[FTE Cost]]*tblSOW9[[#This Row],[% work on project]]*AR22/12+tblSOW9[[#This Row],[Task Cost]]*BD22+tblSOW9[[#This Row],[External Expenses/Revenues USD]]*BP22/tblSOW9[[#This Row],[Duration]]</f>
        <v>10730.37336830865</v>
      </c>
      <c r="AG22" s="74">
        <f>tblSOW9[[#This Row],[FTE Cost]]*tblSOW9[[#This Row],[% work on project]]*AS22/12+tblSOW9[[#This Row],[Task Cost]]*BE22+tblSOW9[[#This Row],[External Expenses/Revenues USD]]*BQ22/tblSOW9[[#This Row],[Duration]]</f>
        <v>10730.37336830865</v>
      </c>
      <c r="AH22" s="74">
        <f>tblSOW9[[#This Row],[FTE Cost]]*tblSOW9[[#This Row],[% work on project]]*AT22/12+tblSOW9[[#This Row],[Task Cost]]*BF22+tblSOW9[[#This Row],[External Expenses/Revenues USD]]*BR22/tblSOW9[[#This Row],[Duration]]</f>
        <v>10730.37336830865</v>
      </c>
      <c r="AI22" s="74">
        <f>tblSOW9[[#This Row],[FTE Cost]]*tblSOW9[[#This Row],[% work on project]]*AU22/12+tblSOW9[[#This Row],[Task Cost]]*BG22+tblSOW9[[#This Row],[External Expenses/Revenues USD]]*BS22/tblSOW9[[#This Row],[Duration]]</f>
        <v>10730.37336830865</v>
      </c>
      <c r="AJ22" s="74">
        <f>tblSOW9[[#This Row],[FTE Cost]]*tblSOW9[[#This Row],[% work on project]]*AV22/12+tblSOW9[[#This Row],[Task Cost]]*BH22+tblSOW9[[#This Row],[External Expenses/Revenues USD]]*BT22/tblSOW9[[#This Row],[Duration]]</f>
        <v>10730.37336830865</v>
      </c>
      <c r="AK22" s="74">
        <f t="shared" si="4"/>
        <v>1</v>
      </c>
      <c r="AL22" s="74">
        <f t="shared" si="4"/>
        <v>1</v>
      </c>
      <c r="AM22" s="74">
        <f t="shared" si="4"/>
        <v>1</v>
      </c>
      <c r="AN22" s="74">
        <f t="shared" ref="AN22:AV28" si="7">$S22/$BU22*BL22</f>
        <v>1</v>
      </c>
      <c r="AO22" s="74">
        <f t="shared" si="7"/>
        <v>1</v>
      </c>
      <c r="AP22" s="74">
        <f t="shared" si="7"/>
        <v>1</v>
      </c>
      <c r="AQ22" s="74">
        <f t="shared" si="7"/>
        <v>1</v>
      </c>
      <c r="AR22" s="74">
        <f t="shared" si="7"/>
        <v>1</v>
      </c>
      <c r="AS22" s="74">
        <f t="shared" si="7"/>
        <v>1</v>
      </c>
      <c r="AT22" s="74">
        <f t="shared" si="7"/>
        <v>1</v>
      </c>
      <c r="AU22" s="74">
        <f t="shared" si="7"/>
        <v>1</v>
      </c>
      <c r="AV22" s="74">
        <f t="shared" si="7"/>
        <v>1</v>
      </c>
      <c r="AW22" s="74">
        <f t="shared" si="5"/>
        <v>13.5</v>
      </c>
      <c r="AX22" s="74">
        <f t="shared" si="5"/>
        <v>13.5</v>
      </c>
      <c r="AY22" s="74">
        <f t="shared" si="5"/>
        <v>13.5</v>
      </c>
      <c r="AZ22" s="74">
        <f t="shared" ref="AZ22:BH28" si="8">$U22/$BU22*BL22</f>
        <v>13.5</v>
      </c>
      <c r="BA22" s="74">
        <f t="shared" si="8"/>
        <v>13.5</v>
      </c>
      <c r="BB22" s="74">
        <f t="shared" si="8"/>
        <v>13.5</v>
      </c>
      <c r="BC22" s="74">
        <f t="shared" si="8"/>
        <v>13.5</v>
      </c>
      <c r="BD22" s="74">
        <f t="shared" si="8"/>
        <v>13.5</v>
      </c>
      <c r="BE22" s="74">
        <f t="shared" si="8"/>
        <v>13.5</v>
      </c>
      <c r="BF22" s="74">
        <f t="shared" si="8"/>
        <v>13.5</v>
      </c>
      <c r="BG22" s="74">
        <f t="shared" si="8"/>
        <v>13.5</v>
      </c>
      <c r="BH22" s="74">
        <f t="shared" si="8"/>
        <v>13.5</v>
      </c>
      <c r="BI22" s="74">
        <f t="shared" si="6"/>
        <v>1</v>
      </c>
      <c r="BJ22" s="74">
        <f t="shared" si="6"/>
        <v>1</v>
      </c>
      <c r="BK22" s="74">
        <f t="shared" si="6"/>
        <v>1</v>
      </c>
      <c r="BL22" s="74">
        <f t="shared" ref="BI22:BT28" si="9">IF($S22&gt;0,IF(AND(MONTH($P22)&lt;=BL$1,MONTH($Q22)&gt;=BL$1),1,0),0)</f>
        <v>1</v>
      </c>
      <c r="BM22" s="74">
        <f t="shared" si="9"/>
        <v>1</v>
      </c>
      <c r="BN22" s="74">
        <f t="shared" si="9"/>
        <v>1</v>
      </c>
      <c r="BO22" s="74">
        <f t="shared" si="9"/>
        <v>1</v>
      </c>
      <c r="BP22" s="74">
        <f t="shared" si="9"/>
        <v>1</v>
      </c>
      <c r="BQ22" s="74">
        <f t="shared" si="9"/>
        <v>1</v>
      </c>
      <c r="BR22" s="74">
        <f t="shared" si="9"/>
        <v>1</v>
      </c>
      <c r="BS22" s="74">
        <f t="shared" si="9"/>
        <v>1</v>
      </c>
      <c r="BT22" s="74">
        <f t="shared" si="9"/>
        <v>1</v>
      </c>
      <c r="BU22" s="74">
        <f>SUM(tblSOW9[[#This Row],[P1]:[P12]])</f>
        <v>12</v>
      </c>
      <c r="BV22" s="74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22" s="74">
        <f>IFERROR(VLOOKUP(K22,[32]Parameters!BN:BW,10,0),0)</f>
        <v>794.84247172656671</v>
      </c>
    </row>
    <row r="23" spans="1:75" s="75" customFormat="1">
      <c r="A23" s="67" t="str">
        <f>CONCATENATE(INDEX([32]Parameters!$U$1:$V$20,MATCH(C23,[32]Parameters!$V$1:$V$20,0),1),"/",VLOOKUP(D23,[32]Parameters!$CG$1:$CH$12,2,0),".",E23,".",H23,".",LEFT(J23,3),"-",LEFT(K23,4))</f>
        <v>B80/20.P265.406.950-T112</v>
      </c>
      <c r="B23" s="67" t="s">
        <v>111</v>
      </c>
      <c r="C23" s="67" t="s">
        <v>164</v>
      </c>
      <c r="D23" s="39" t="s">
        <v>95</v>
      </c>
      <c r="E23" s="40" t="str">
        <f>VLOOKUP(F23,[32]Parameters!P:T,4,0)</f>
        <v>P265</v>
      </c>
      <c r="F23" s="39" t="s">
        <v>169</v>
      </c>
      <c r="G23" s="67" t="s">
        <v>125</v>
      </c>
      <c r="H23" s="67">
        <f>INDEX([32]Parameters!$B:$C,MATCH(I23,[32]Parameters!$C:$C,0),1)</f>
        <v>406</v>
      </c>
      <c r="I23" s="68" t="s">
        <v>106</v>
      </c>
      <c r="J23" s="68" t="s">
        <v>94</v>
      </c>
      <c r="K23" s="68" t="s">
        <v>107</v>
      </c>
      <c r="L23" s="68" t="str">
        <f>IFERROR(VLOOKUP(tblSOW9[[#This Row],[Employee name ]],[32]Parameters!CP:CS,4,0),"")</f>
        <v/>
      </c>
      <c r="M23" s="91"/>
      <c r="N23" s="67"/>
      <c r="O23" s="76"/>
      <c r="P23" s="72">
        <v>44927</v>
      </c>
      <c r="Q23" s="72">
        <v>45291</v>
      </c>
      <c r="R23" s="67"/>
      <c r="S23" s="67">
        <f t="shared" si="0"/>
        <v>12</v>
      </c>
      <c r="T23" s="68"/>
      <c r="U23" s="68">
        <v>177</v>
      </c>
      <c r="V23" s="68"/>
      <c r="W23" s="68" t="str">
        <f>IF(AND(ISNUMBER(SEARCH("-T",tblSOW9[[#This Row],[Budget Item]])),NOT(ISNUMBER(tblSOW9[[#This Row],[Task Units]]))),"Please Enter Task Units",
IF(AND(ISNUMBER(SEARCH("-E000",tblSOW9[[#This Row],[Budget Item]])),NOT(ISNUMBER(tblSOW9[[#This Row],[% work on project]]))),"Please Enter Organic FTE",
IF(AND(ISNUMBER(SEARCH("-E999",tblSOW9[[#This Row],[Budget Item]])),NOT(ISNUMBER(tblSOW9[[#This Row],[External Expenses/Revenues USD]]))),"Please Enter External Expenses",
"")))</f>
        <v/>
      </c>
      <c r="X23" s="67">
        <f>SUM(tblSOW9[[#This Row],[Jan 2023 USD]:[Dec 2023 USD]])</f>
        <v>168038.40186588795</v>
      </c>
      <c r="Y23" s="74">
        <f>tblSOW9[[#This Row],[FTE Cost]]*tblSOW9[[#This Row],[% work on project]]*AK23/12+tblSOW9[[#This Row],[Task Cost]]*AW23+tblSOW9[[#This Row],[External Expenses/Revenues USD]]*BI23/tblSOW9[[#This Row],[Duration]]</f>
        <v>14003.200155490666</v>
      </c>
      <c r="Z23" s="74">
        <f>tblSOW9[[#This Row],[FTE Cost]]*tblSOW9[[#This Row],[% work on project]]*AL23/12+tblSOW9[[#This Row],[Task Cost]]*AX23+tblSOW9[[#This Row],[External Expenses/Revenues USD]]*BJ23/tblSOW9[[#This Row],[Duration]]</f>
        <v>14003.200155490666</v>
      </c>
      <c r="AA23" s="74">
        <f>tblSOW9[[#This Row],[FTE Cost]]*tblSOW9[[#This Row],[% work on project]]*AM23/12+tblSOW9[[#This Row],[Task Cost]]*AY23+tblSOW9[[#This Row],[External Expenses/Revenues USD]]*BK23/tblSOW9[[#This Row],[Duration]]</f>
        <v>14003.200155490666</v>
      </c>
      <c r="AB23" s="74">
        <f>tblSOW9[[#This Row],[FTE Cost]]*tblSOW9[[#This Row],[% work on project]]*AN23/12+tblSOW9[[#This Row],[Task Cost]]*AZ23+tblSOW9[[#This Row],[External Expenses/Revenues USD]]*BL23/tblSOW9[[#This Row],[Duration]]</f>
        <v>14003.200155490666</v>
      </c>
      <c r="AC23" s="74">
        <f>tblSOW9[[#This Row],[FTE Cost]]*tblSOW9[[#This Row],[% work on project]]*AO23/12+tblSOW9[[#This Row],[Task Cost]]*BA23+tblSOW9[[#This Row],[External Expenses/Revenues USD]]*BM23/tblSOW9[[#This Row],[Duration]]</f>
        <v>14003.200155490666</v>
      </c>
      <c r="AD23" s="74">
        <f>tblSOW9[[#This Row],[FTE Cost]]*tblSOW9[[#This Row],[% work on project]]*AP23/12+tblSOW9[[#This Row],[Task Cost]]*BB23+tblSOW9[[#This Row],[External Expenses/Revenues USD]]*BN23/tblSOW9[[#This Row],[Duration]]</f>
        <v>14003.200155490666</v>
      </c>
      <c r="AE23" s="74">
        <f>tblSOW9[[#This Row],[FTE Cost]]*tblSOW9[[#This Row],[% work on project]]*AQ23/12+tblSOW9[[#This Row],[Task Cost]]*BC23+tblSOW9[[#This Row],[External Expenses/Revenues USD]]*BO23/tblSOW9[[#This Row],[Duration]]</f>
        <v>14003.200155490666</v>
      </c>
      <c r="AF23" s="74">
        <f>tblSOW9[[#This Row],[FTE Cost]]*tblSOW9[[#This Row],[% work on project]]*AR23/12+tblSOW9[[#This Row],[Task Cost]]*BD23+tblSOW9[[#This Row],[External Expenses/Revenues USD]]*BP23/tblSOW9[[#This Row],[Duration]]</f>
        <v>14003.200155490666</v>
      </c>
      <c r="AG23" s="74">
        <f>tblSOW9[[#This Row],[FTE Cost]]*tblSOW9[[#This Row],[% work on project]]*AS23/12+tblSOW9[[#This Row],[Task Cost]]*BE23+tblSOW9[[#This Row],[External Expenses/Revenues USD]]*BQ23/tblSOW9[[#This Row],[Duration]]</f>
        <v>14003.200155490666</v>
      </c>
      <c r="AH23" s="74">
        <f>tblSOW9[[#This Row],[FTE Cost]]*tblSOW9[[#This Row],[% work on project]]*AT23/12+tblSOW9[[#This Row],[Task Cost]]*BF23+tblSOW9[[#This Row],[External Expenses/Revenues USD]]*BR23/tblSOW9[[#This Row],[Duration]]</f>
        <v>14003.200155490666</v>
      </c>
      <c r="AI23" s="74">
        <f>tblSOW9[[#This Row],[FTE Cost]]*tblSOW9[[#This Row],[% work on project]]*AU23/12+tblSOW9[[#This Row],[Task Cost]]*BG23+tblSOW9[[#This Row],[External Expenses/Revenues USD]]*BS23/tblSOW9[[#This Row],[Duration]]</f>
        <v>14003.200155490666</v>
      </c>
      <c r="AJ23" s="74">
        <f>tblSOW9[[#This Row],[FTE Cost]]*tblSOW9[[#This Row],[% work on project]]*AV23/12+tblSOW9[[#This Row],[Task Cost]]*BH23+tblSOW9[[#This Row],[External Expenses/Revenues USD]]*BT23/tblSOW9[[#This Row],[Duration]]</f>
        <v>14003.200155490666</v>
      </c>
      <c r="AK23" s="74">
        <f t="shared" ref="AK23:AM28" si="10">$S23/$BU23*BI23</f>
        <v>1</v>
      </c>
      <c r="AL23" s="74">
        <f t="shared" si="10"/>
        <v>1</v>
      </c>
      <c r="AM23" s="74">
        <f t="shared" si="10"/>
        <v>1</v>
      </c>
      <c r="AN23" s="74">
        <f t="shared" si="7"/>
        <v>1</v>
      </c>
      <c r="AO23" s="74">
        <f t="shared" si="7"/>
        <v>1</v>
      </c>
      <c r="AP23" s="74">
        <f t="shared" si="7"/>
        <v>1</v>
      </c>
      <c r="AQ23" s="74">
        <f t="shared" si="7"/>
        <v>1</v>
      </c>
      <c r="AR23" s="74">
        <f t="shared" si="7"/>
        <v>1</v>
      </c>
      <c r="AS23" s="74">
        <f t="shared" si="7"/>
        <v>1</v>
      </c>
      <c r="AT23" s="74">
        <f t="shared" si="7"/>
        <v>1</v>
      </c>
      <c r="AU23" s="74">
        <f t="shared" si="7"/>
        <v>1</v>
      </c>
      <c r="AV23" s="74">
        <f t="shared" si="7"/>
        <v>1</v>
      </c>
      <c r="AW23" s="74">
        <f t="shared" ref="AW23:AY28" si="11">$U23/$BU23*BI23</f>
        <v>14.75</v>
      </c>
      <c r="AX23" s="74">
        <f t="shared" si="11"/>
        <v>14.75</v>
      </c>
      <c r="AY23" s="74">
        <f t="shared" si="11"/>
        <v>14.75</v>
      </c>
      <c r="AZ23" s="74">
        <f t="shared" si="8"/>
        <v>14.75</v>
      </c>
      <c r="BA23" s="74">
        <f t="shared" si="8"/>
        <v>14.75</v>
      </c>
      <c r="BB23" s="74">
        <f t="shared" si="8"/>
        <v>14.75</v>
      </c>
      <c r="BC23" s="74">
        <f t="shared" si="8"/>
        <v>14.75</v>
      </c>
      <c r="BD23" s="74">
        <f t="shared" si="8"/>
        <v>14.75</v>
      </c>
      <c r="BE23" s="74">
        <f t="shared" si="8"/>
        <v>14.75</v>
      </c>
      <c r="BF23" s="74">
        <f t="shared" si="8"/>
        <v>14.75</v>
      </c>
      <c r="BG23" s="74">
        <f t="shared" si="8"/>
        <v>14.75</v>
      </c>
      <c r="BH23" s="74">
        <f t="shared" si="8"/>
        <v>14.75</v>
      </c>
      <c r="BI23" s="74">
        <f t="shared" si="9"/>
        <v>1</v>
      </c>
      <c r="BJ23" s="74">
        <f t="shared" si="9"/>
        <v>1</v>
      </c>
      <c r="BK23" s="74">
        <f t="shared" si="9"/>
        <v>1</v>
      </c>
      <c r="BL23" s="74">
        <f t="shared" si="9"/>
        <v>1</v>
      </c>
      <c r="BM23" s="74">
        <f t="shared" si="9"/>
        <v>1</v>
      </c>
      <c r="BN23" s="74">
        <f t="shared" si="9"/>
        <v>1</v>
      </c>
      <c r="BO23" s="74">
        <f t="shared" si="9"/>
        <v>1</v>
      </c>
      <c r="BP23" s="74">
        <f t="shared" si="9"/>
        <v>1</v>
      </c>
      <c r="BQ23" s="74">
        <f t="shared" si="9"/>
        <v>1</v>
      </c>
      <c r="BR23" s="74">
        <f t="shared" si="9"/>
        <v>1</v>
      </c>
      <c r="BS23" s="74">
        <f t="shared" si="9"/>
        <v>1</v>
      </c>
      <c r="BT23" s="74">
        <f t="shared" si="9"/>
        <v>1</v>
      </c>
      <c r="BU23" s="74">
        <f>SUM(tblSOW9[[#This Row],[P1]:[P12]])</f>
        <v>12</v>
      </c>
      <c r="BV23" s="74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23" s="74">
        <f>IFERROR(VLOOKUP(K23,[32]Parameters!BN:BW,10,0),0)</f>
        <v>949.36950206716381</v>
      </c>
    </row>
    <row r="24" spans="1:75" s="75" customFormat="1">
      <c r="A24" s="67" t="str">
        <f>CONCATENATE(INDEX([32]Parameters!$U$1:$V$20,MATCH(C24,[32]Parameters!$V$1:$V$20,0),1),"/",VLOOKUP(D24,[32]Parameters!$CG$1:$CH$12,2,0),".",E24,".",H24,".",LEFT(J24,3),"-",LEFT(K24,4))</f>
        <v>B80/20.P273.404.950-T102</v>
      </c>
      <c r="B24" s="67" t="s">
        <v>111</v>
      </c>
      <c r="C24" s="67" t="s">
        <v>164</v>
      </c>
      <c r="D24" s="39" t="s">
        <v>95</v>
      </c>
      <c r="E24" s="40" t="str">
        <f>VLOOKUP(F24,[32]Parameters!P:T,4,0)</f>
        <v>P273</v>
      </c>
      <c r="F24" s="39" t="s">
        <v>170</v>
      </c>
      <c r="G24" s="67" t="s">
        <v>125</v>
      </c>
      <c r="H24" s="67">
        <f>INDEX([32]Parameters!$B:$C,MATCH(I24,[32]Parameters!$C:$C,0),1)</f>
        <v>404</v>
      </c>
      <c r="I24" s="68" t="s">
        <v>101</v>
      </c>
      <c r="J24" s="68" t="s">
        <v>94</v>
      </c>
      <c r="K24" s="68" t="s">
        <v>102</v>
      </c>
      <c r="L24" s="68" t="str">
        <f>IFERROR(VLOOKUP(tblSOW9[[#This Row],[Employee name ]],[32]Parameters!CP:CS,4,0),"")</f>
        <v/>
      </c>
      <c r="M24" s="91"/>
      <c r="N24" s="67"/>
      <c r="O24" s="76"/>
      <c r="P24" s="72">
        <v>44927</v>
      </c>
      <c r="Q24" s="72">
        <v>45291</v>
      </c>
      <c r="R24" s="67"/>
      <c r="S24" s="67">
        <f t="shared" si="0"/>
        <v>12</v>
      </c>
      <c r="T24" s="68"/>
      <c r="U24" s="68">
        <v>20</v>
      </c>
      <c r="V24" s="68"/>
      <c r="W24" s="68" t="str">
        <f>IF(AND(ISNUMBER(SEARCH("-T",tblSOW9[[#This Row],[Budget Item]])),NOT(ISNUMBER(tblSOW9[[#This Row],[Task Units]]))),"Please Enter Task Units",
IF(AND(ISNUMBER(SEARCH("-E000",tblSOW9[[#This Row],[Budget Item]])),NOT(ISNUMBER(tblSOW9[[#This Row],[% work on project]]))),"Please Enter Organic FTE",
IF(AND(ISNUMBER(SEARCH("-E999",tblSOW9[[#This Row],[Budget Item]])),NOT(ISNUMBER(tblSOW9[[#This Row],[External Expenses/Revenues USD]]))),"Please Enter External Expenses",
"")))</f>
        <v/>
      </c>
      <c r="X24" s="67">
        <f>SUM(tblSOW9[[#This Row],[Jan 2023 USD]:[Dec 2023 USD]])</f>
        <v>19097.853408707058</v>
      </c>
      <c r="Y24" s="74">
        <f>tblSOW9[[#This Row],[FTE Cost]]*tblSOW9[[#This Row],[% work on project]]*AK24/12+tblSOW9[[#This Row],[Task Cost]]*AW24+tblSOW9[[#This Row],[External Expenses/Revenues USD]]*BI24/tblSOW9[[#This Row],[Duration]]</f>
        <v>1591.4877840589215</v>
      </c>
      <c r="Z24" s="74">
        <f>tblSOW9[[#This Row],[FTE Cost]]*tblSOW9[[#This Row],[% work on project]]*AL24/12+tblSOW9[[#This Row],[Task Cost]]*AX24+tblSOW9[[#This Row],[External Expenses/Revenues USD]]*BJ24/tblSOW9[[#This Row],[Duration]]</f>
        <v>1591.4877840589215</v>
      </c>
      <c r="AA24" s="74">
        <f>tblSOW9[[#This Row],[FTE Cost]]*tblSOW9[[#This Row],[% work on project]]*AM24/12+tblSOW9[[#This Row],[Task Cost]]*AY24+tblSOW9[[#This Row],[External Expenses/Revenues USD]]*BK24/tblSOW9[[#This Row],[Duration]]</f>
        <v>1591.4877840589215</v>
      </c>
      <c r="AB24" s="74">
        <f>tblSOW9[[#This Row],[FTE Cost]]*tblSOW9[[#This Row],[% work on project]]*AN24/12+tblSOW9[[#This Row],[Task Cost]]*AZ24+tblSOW9[[#This Row],[External Expenses/Revenues USD]]*BL24/tblSOW9[[#This Row],[Duration]]</f>
        <v>1591.4877840589215</v>
      </c>
      <c r="AC24" s="74">
        <f>tblSOW9[[#This Row],[FTE Cost]]*tblSOW9[[#This Row],[% work on project]]*AO24/12+tblSOW9[[#This Row],[Task Cost]]*BA24+tblSOW9[[#This Row],[External Expenses/Revenues USD]]*BM24/tblSOW9[[#This Row],[Duration]]</f>
        <v>1591.4877840589215</v>
      </c>
      <c r="AD24" s="74">
        <f>tblSOW9[[#This Row],[FTE Cost]]*tblSOW9[[#This Row],[% work on project]]*AP24/12+tblSOW9[[#This Row],[Task Cost]]*BB24+tblSOW9[[#This Row],[External Expenses/Revenues USD]]*BN24/tblSOW9[[#This Row],[Duration]]</f>
        <v>1591.4877840589215</v>
      </c>
      <c r="AE24" s="74">
        <f>tblSOW9[[#This Row],[FTE Cost]]*tblSOW9[[#This Row],[% work on project]]*AQ24/12+tblSOW9[[#This Row],[Task Cost]]*BC24+tblSOW9[[#This Row],[External Expenses/Revenues USD]]*BO24/tblSOW9[[#This Row],[Duration]]</f>
        <v>1591.4877840589215</v>
      </c>
      <c r="AF24" s="74">
        <f>tblSOW9[[#This Row],[FTE Cost]]*tblSOW9[[#This Row],[% work on project]]*AR24/12+tblSOW9[[#This Row],[Task Cost]]*BD24+tblSOW9[[#This Row],[External Expenses/Revenues USD]]*BP24/tblSOW9[[#This Row],[Duration]]</f>
        <v>1591.4877840589215</v>
      </c>
      <c r="AG24" s="74">
        <f>tblSOW9[[#This Row],[FTE Cost]]*tblSOW9[[#This Row],[% work on project]]*AS24/12+tblSOW9[[#This Row],[Task Cost]]*BE24+tblSOW9[[#This Row],[External Expenses/Revenues USD]]*BQ24/tblSOW9[[#This Row],[Duration]]</f>
        <v>1591.4877840589215</v>
      </c>
      <c r="AH24" s="74">
        <f>tblSOW9[[#This Row],[FTE Cost]]*tblSOW9[[#This Row],[% work on project]]*AT24/12+tblSOW9[[#This Row],[Task Cost]]*BF24+tblSOW9[[#This Row],[External Expenses/Revenues USD]]*BR24/tblSOW9[[#This Row],[Duration]]</f>
        <v>1591.4877840589215</v>
      </c>
      <c r="AI24" s="74">
        <f>tblSOW9[[#This Row],[FTE Cost]]*tblSOW9[[#This Row],[% work on project]]*AU24/12+tblSOW9[[#This Row],[Task Cost]]*BG24+tblSOW9[[#This Row],[External Expenses/Revenues USD]]*BS24/tblSOW9[[#This Row],[Duration]]</f>
        <v>1591.4877840589215</v>
      </c>
      <c r="AJ24" s="74">
        <f>tblSOW9[[#This Row],[FTE Cost]]*tblSOW9[[#This Row],[% work on project]]*AV24/12+tblSOW9[[#This Row],[Task Cost]]*BH24+tblSOW9[[#This Row],[External Expenses/Revenues USD]]*BT24/tblSOW9[[#This Row],[Duration]]</f>
        <v>1591.4877840589215</v>
      </c>
      <c r="AK24" s="74">
        <f t="shared" si="10"/>
        <v>1</v>
      </c>
      <c r="AL24" s="74">
        <f t="shared" si="10"/>
        <v>1</v>
      </c>
      <c r="AM24" s="74">
        <f t="shared" si="10"/>
        <v>1</v>
      </c>
      <c r="AN24" s="74">
        <f t="shared" si="7"/>
        <v>1</v>
      </c>
      <c r="AO24" s="74">
        <f t="shared" si="7"/>
        <v>1</v>
      </c>
      <c r="AP24" s="74">
        <f t="shared" si="7"/>
        <v>1</v>
      </c>
      <c r="AQ24" s="74">
        <f t="shared" si="7"/>
        <v>1</v>
      </c>
      <c r="AR24" s="74">
        <f t="shared" si="7"/>
        <v>1</v>
      </c>
      <c r="AS24" s="74">
        <f t="shared" si="7"/>
        <v>1</v>
      </c>
      <c r="AT24" s="74">
        <f t="shared" si="7"/>
        <v>1</v>
      </c>
      <c r="AU24" s="74">
        <f t="shared" si="7"/>
        <v>1</v>
      </c>
      <c r="AV24" s="74">
        <f t="shared" si="7"/>
        <v>1</v>
      </c>
      <c r="AW24" s="74">
        <f t="shared" si="11"/>
        <v>1.6666666666666667</v>
      </c>
      <c r="AX24" s="74">
        <f t="shared" si="11"/>
        <v>1.6666666666666667</v>
      </c>
      <c r="AY24" s="74">
        <f t="shared" si="11"/>
        <v>1.6666666666666667</v>
      </c>
      <c r="AZ24" s="74">
        <f t="shared" si="8"/>
        <v>1.6666666666666667</v>
      </c>
      <c r="BA24" s="74">
        <f t="shared" si="8"/>
        <v>1.6666666666666667</v>
      </c>
      <c r="BB24" s="74">
        <f t="shared" si="8"/>
        <v>1.6666666666666667</v>
      </c>
      <c r="BC24" s="74">
        <f t="shared" si="8"/>
        <v>1.6666666666666667</v>
      </c>
      <c r="BD24" s="74">
        <f t="shared" si="8"/>
        <v>1.6666666666666667</v>
      </c>
      <c r="BE24" s="74">
        <f t="shared" si="8"/>
        <v>1.6666666666666667</v>
      </c>
      <c r="BF24" s="74">
        <f t="shared" si="8"/>
        <v>1.6666666666666667</v>
      </c>
      <c r="BG24" s="74">
        <f t="shared" si="8"/>
        <v>1.6666666666666667</v>
      </c>
      <c r="BH24" s="74">
        <f t="shared" si="8"/>
        <v>1.6666666666666667</v>
      </c>
      <c r="BI24" s="74">
        <f t="shared" si="9"/>
        <v>1</v>
      </c>
      <c r="BJ24" s="74">
        <f t="shared" si="9"/>
        <v>1</v>
      </c>
      <c r="BK24" s="74">
        <f t="shared" si="9"/>
        <v>1</v>
      </c>
      <c r="BL24" s="74">
        <f t="shared" si="9"/>
        <v>1</v>
      </c>
      <c r="BM24" s="74">
        <f t="shared" si="9"/>
        <v>1</v>
      </c>
      <c r="BN24" s="74">
        <f t="shared" si="9"/>
        <v>1</v>
      </c>
      <c r="BO24" s="74">
        <f t="shared" si="9"/>
        <v>1</v>
      </c>
      <c r="BP24" s="74">
        <f t="shared" si="9"/>
        <v>1</v>
      </c>
      <c r="BQ24" s="74">
        <f t="shared" si="9"/>
        <v>1</v>
      </c>
      <c r="BR24" s="74">
        <f t="shared" si="9"/>
        <v>1</v>
      </c>
      <c r="BS24" s="74">
        <f t="shared" si="9"/>
        <v>1</v>
      </c>
      <c r="BT24" s="74">
        <f t="shared" si="9"/>
        <v>1</v>
      </c>
      <c r="BU24" s="74">
        <f>SUM(tblSOW9[[#This Row],[P1]:[P12]])</f>
        <v>12</v>
      </c>
      <c r="BV24" s="74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24" s="74">
        <f>IFERROR(VLOOKUP(K24,[32]Parameters!BN:BW,10,0),0)</f>
        <v>954.8926704353529</v>
      </c>
    </row>
    <row r="25" spans="1:75" s="75" customFormat="1">
      <c r="A25" s="67" t="str">
        <f>CONCATENATE(INDEX([32]Parameters!$U$1:$V$20,MATCH(C25,[32]Parameters!$V$1:$V$20,0),1),"/",VLOOKUP(D25,[32]Parameters!$CG$1:$CH$12,2,0),".",E25,".",H25,".",LEFT(J25,3),"-",LEFT(K25,4))</f>
        <v>B80/20.P273.427.950-T109</v>
      </c>
      <c r="B25" s="67" t="s">
        <v>111</v>
      </c>
      <c r="C25" s="67" t="s">
        <v>164</v>
      </c>
      <c r="D25" s="39" t="s">
        <v>95</v>
      </c>
      <c r="E25" s="40" t="str">
        <f>VLOOKUP(F25,[32]Parameters!P:T,4,0)</f>
        <v>P273</v>
      </c>
      <c r="F25" s="39" t="s">
        <v>170</v>
      </c>
      <c r="G25" s="67" t="s">
        <v>125</v>
      </c>
      <c r="H25" s="67">
        <f>INDEX([32]Parameters!$B:$C,MATCH(I25,[32]Parameters!$C:$C,0),1)</f>
        <v>427</v>
      </c>
      <c r="I25" s="68" t="s">
        <v>104</v>
      </c>
      <c r="J25" s="68" t="s">
        <v>94</v>
      </c>
      <c r="K25" s="68" t="s">
        <v>105</v>
      </c>
      <c r="L25" s="68" t="str">
        <f>IFERROR(VLOOKUP(tblSOW9[[#This Row],[Employee name ]],[32]Parameters!CP:CS,4,0),"")</f>
        <v/>
      </c>
      <c r="M25" s="91"/>
      <c r="N25" s="67"/>
      <c r="O25" s="76"/>
      <c r="P25" s="72">
        <v>44927</v>
      </c>
      <c r="Q25" s="72">
        <v>45291</v>
      </c>
      <c r="R25" s="67"/>
      <c r="S25" s="67">
        <f t="shared" si="0"/>
        <v>12</v>
      </c>
      <c r="T25" s="68"/>
      <c r="U25" s="68">
        <v>85</v>
      </c>
      <c r="V25" s="68"/>
      <c r="W25" s="68" t="str">
        <f>IF(AND(ISNUMBER(SEARCH("-T",tblSOW9[[#This Row],[Budget Item]])),NOT(ISNUMBER(tblSOW9[[#This Row],[Task Units]]))),"Please Enter Task Units",
IF(AND(ISNUMBER(SEARCH("-E000",tblSOW9[[#This Row],[Budget Item]])),NOT(ISNUMBER(tblSOW9[[#This Row],[% work on project]]))),"Please Enter Organic FTE",
IF(AND(ISNUMBER(SEARCH("-E999",tblSOW9[[#This Row],[Budget Item]])),NOT(ISNUMBER(tblSOW9[[#This Row],[External Expenses/Revenues USD]]))),"Please Enter External Expenses",
"")))</f>
        <v/>
      </c>
      <c r="X25" s="67">
        <f>SUM(tblSOW9[[#This Row],[Jan 2023 USD]:[Dec 2023 USD]])</f>
        <v>65425.741925583658</v>
      </c>
      <c r="Y25" s="74">
        <f>tblSOW9[[#This Row],[FTE Cost]]*tblSOW9[[#This Row],[% work on project]]*AK25/12+tblSOW9[[#This Row],[Task Cost]]*AW25+tblSOW9[[#This Row],[External Expenses/Revenues USD]]*BI25/tblSOW9[[#This Row],[Duration]]</f>
        <v>5452.1451604653048</v>
      </c>
      <c r="Z25" s="74">
        <f>tblSOW9[[#This Row],[FTE Cost]]*tblSOW9[[#This Row],[% work on project]]*AL25/12+tblSOW9[[#This Row],[Task Cost]]*AX25+tblSOW9[[#This Row],[External Expenses/Revenues USD]]*BJ25/tblSOW9[[#This Row],[Duration]]</f>
        <v>5452.1451604653048</v>
      </c>
      <c r="AA25" s="74">
        <f>tblSOW9[[#This Row],[FTE Cost]]*tblSOW9[[#This Row],[% work on project]]*AM25/12+tblSOW9[[#This Row],[Task Cost]]*AY25+tblSOW9[[#This Row],[External Expenses/Revenues USD]]*BK25/tblSOW9[[#This Row],[Duration]]</f>
        <v>5452.1451604653048</v>
      </c>
      <c r="AB25" s="74">
        <f>tblSOW9[[#This Row],[FTE Cost]]*tblSOW9[[#This Row],[% work on project]]*AN25/12+tblSOW9[[#This Row],[Task Cost]]*AZ25+tblSOW9[[#This Row],[External Expenses/Revenues USD]]*BL25/tblSOW9[[#This Row],[Duration]]</f>
        <v>5452.1451604653048</v>
      </c>
      <c r="AC25" s="74">
        <f>tblSOW9[[#This Row],[FTE Cost]]*tblSOW9[[#This Row],[% work on project]]*AO25/12+tblSOW9[[#This Row],[Task Cost]]*BA25+tblSOW9[[#This Row],[External Expenses/Revenues USD]]*BM25/tblSOW9[[#This Row],[Duration]]</f>
        <v>5452.1451604653048</v>
      </c>
      <c r="AD25" s="74">
        <f>tblSOW9[[#This Row],[FTE Cost]]*tblSOW9[[#This Row],[% work on project]]*AP25/12+tblSOW9[[#This Row],[Task Cost]]*BB25+tblSOW9[[#This Row],[External Expenses/Revenues USD]]*BN25/tblSOW9[[#This Row],[Duration]]</f>
        <v>5452.1451604653048</v>
      </c>
      <c r="AE25" s="74">
        <f>tblSOW9[[#This Row],[FTE Cost]]*tblSOW9[[#This Row],[% work on project]]*AQ25/12+tblSOW9[[#This Row],[Task Cost]]*BC25+tblSOW9[[#This Row],[External Expenses/Revenues USD]]*BO25/tblSOW9[[#This Row],[Duration]]</f>
        <v>5452.1451604653048</v>
      </c>
      <c r="AF25" s="74">
        <f>tblSOW9[[#This Row],[FTE Cost]]*tblSOW9[[#This Row],[% work on project]]*AR25/12+tblSOW9[[#This Row],[Task Cost]]*BD25+tblSOW9[[#This Row],[External Expenses/Revenues USD]]*BP25/tblSOW9[[#This Row],[Duration]]</f>
        <v>5452.1451604653048</v>
      </c>
      <c r="AG25" s="74">
        <f>tblSOW9[[#This Row],[FTE Cost]]*tblSOW9[[#This Row],[% work on project]]*AS25/12+tblSOW9[[#This Row],[Task Cost]]*BE25+tblSOW9[[#This Row],[External Expenses/Revenues USD]]*BQ25/tblSOW9[[#This Row],[Duration]]</f>
        <v>5452.1451604653048</v>
      </c>
      <c r="AH25" s="74">
        <f>tblSOW9[[#This Row],[FTE Cost]]*tblSOW9[[#This Row],[% work on project]]*AT25/12+tblSOW9[[#This Row],[Task Cost]]*BF25+tblSOW9[[#This Row],[External Expenses/Revenues USD]]*BR25/tblSOW9[[#This Row],[Duration]]</f>
        <v>5452.1451604653048</v>
      </c>
      <c r="AI25" s="74">
        <f>tblSOW9[[#This Row],[FTE Cost]]*tblSOW9[[#This Row],[% work on project]]*AU25/12+tblSOW9[[#This Row],[Task Cost]]*BG25+tblSOW9[[#This Row],[External Expenses/Revenues USD]]*BS25/tblSOW9[[#This Row],[Duration]]</f>
        <v>5452.1451604653048</v>
      </c>
      <c r="AJ25" s="74">
        <f>tblSOW9[[#This Row],[FTE Cost]]*tblSOW9[[#This Row],[% work on project]]*AV25/12+tblSOW9[[#This Row],[Task Cost]]*BH25+tblSOW9[[#This Row],[External Expenses/Revenues USD]]*BT25/tblSOW9[[#This Row],[Duration]]</f>
        <v>5452.1451604653048</v>
      </c>
      <c r="AK25" s="74">
        <f t="shared" si="10"/>
        <v>1</v>
      </c>
      <c r="AL25" s="74">
        <f t="shared" si="10"/>
        <v>1</v>
      </c>
      <c r="AM25" s="74">
        <f t="shared" si="10"/>
        <v>1</v>
      </c>
      <c r="AN25" s="74">
        <f t="shared" si="7"/>
        <v>1</v>
      </c>
      <c r="AO25" s="74">
        <f t="shared" si="7"/>
        <v>1</v>
      </c>
      <c r="AP25" s="74">
        <f t="shared" si="7"/>
        <v>1</v>
      </c>
      <c r="AQ25" s="74">
        <f t="shared" si="7"/>
        <v>1</v>
      </c>
      <c r="AR25" s="74">
        <f t="shared" si="7"/>
        <v>1</v>
      </c>
      <c r="AS25" s="74">
        <f t="shared" si="7"/>
        <v>1</v>
      </c>
      <c r="AT25" s="74">
        <f t="shared" si="7"/>
        <v>1</v>
      </c>
      <c r="AU25" s="74">
        <f t="shared" si="7"/>
        <v>1</v>
      </c>
      <c r="AV25" s="74">
        <f t="shared" si="7"/>
        <v>1</v>
      </c>
      <c r="AW25" s="74">
        <f t="shared" si="11"/>
        <v>7.083333333333333</v>
      </c>
      <c r="AX25" s="74">
        <f t="shared" si="11"/>
        <v>7.083333333333333</v>
      </c>
      <c r="AY25" s="74">
        <f t="shared" si="11"/>
        <v>7.083333333333333</v>
      </c>
      <c r="AZ25" s="74">
        <f t="shared" si="8"/>
        <v>7.083333333333333</v>
      </c>
      <c r="BA25" s="74">
        <f t="shared" si="8"/>
        <v>7.083333333333333</v>
      </c>
      <c r="BB25" s="74">
        <f t="shared" si="8"/>
        <v>7.083333333333333</v>
      </c>
      <c r="BC25" s="74">
        <f t="shared" si="8"/>
        <v>7.083333333333333</v>
      </c>
      <c r="BD25" s="74">
        <f t="shared" si="8"/>
        <v>7.083333333333333</v>
      </c>
      <c r="BE25" s="74">
        <f t="shared" si="8"/>
        <v>7.083333333333333</v>
      </c>
      <c r="BF25" s="74">
        <f t="shared" si="8"/>
        <v>7.083333333333333</v>
      </c>
      <c r="BG25" s="74">
        <f t="shared" si="8"/>
        <v>7.083333333333333</v>
      </c>
      <c r="BH25" s="74">
        <f t="shared" si="8"/>
        <v>7.083333333333333</v>
      </c>
      <c r="BI25" s="74">
        <f t="shared" si="9"/>
        <v>1</v>
      </c>
      <c r="BJ25" s="74">
        <f t="shared" si="9"/>
        <v>1</v>
      </c>
      <c r="BK25" s="74">
        <f t="shared" si="9"/>
        <v>1</v>
      </c>
      <c r="BL25" s="74">
        <f t="shared" si="9"/>
        <v>1</v>
      </c>
      <c r="BM25" s="74">
        <f t="shared" si="9"/>
        <v>1</v>
      </c>
      <c r="BN25" s="74">
        <f t="shared" si="9"/>
        <v>1</v>
      </c>
      <c r="BO25" s="74">
        <f t="shared" si="9"/>
        <v>1</v>
      </c>
      <c r="BP25" s="74">
        <f t="shared" si="9"/>
        <v>1</v>
      </c>
      <c r="BQ25" s="74">
        <f t="shared" si="9"/>
        <v>1</v>
      </c>
      <c r="BR25" s="74">
        <f t="shared" si="9"/>
        <v>1</v>
      </c>
      <c r="BS25" s="74">
        <f t="shared" si="9"/>
        <v>1</v>
      </c>
      <c r="BT25" s="74">
        <f t="shared" si="9"/>
        <v>1</v>
      </c>
      <c r="BU25" s="74">
        <f>SUM(tblSOW9[[#This Row],[P1]:[P12]])</f>
        <v>12</v>
      </c>
      <c r="BV25" s="74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25" s="74">
        <f>IFERROR(VLOOKUP(K25,[32]Parameters!BN:BW,10,0),0)</f>
        <v>769.71461088921956</v>
      </c>
    </row>
    <row r="26" spans="1:75" s="75" customFormat="1">
      <c r="A26" s="67" t="str">
        <f>CONCATENATE(INDEX([32]Parameters!$U$1:$V$20,MATCH(C26,[32]Parameters!$V$1:$V$20,0),1),"/",VLOOKUP(D26,[32]Parameters!$CG$1:$CH$12,2,0),".",E26,".",H26,".",LEFT(J26,3),"-",LEFT(K26,4))</f>
        <v>B80/20.P273.405.950-T103</v>
      </c>
      <c r="B26" s="67" t="s">
        <v>111</v>
      </c>
      <c r="C26" s="67" t="s">
        <v>164</v>
      </c>
      <c r="D26" s="39" t="s">
        <v>95</v>
      </c>
      <c r="E26" s="40" t="str">
        <f>VLOOKUP(F26,[32]Parameters!P:T,4,0)</f>
        <v>P273</v>
      </c>
      <c r="F26" s="39" t="s">
        <v>170</v>
      </c>
      <c r="G26" s="67" t="s">
        <v>125</v>
      </c>
      <c r="H26" s="67">
        <f>INDEX([32]Parameters!$B:$C,MATCH(I26,[32]Parameters!$C:$C,0),1)</f>
        <v>405</v>
      </c>
      <c r="I26" s="68" t="s">
        <v>98</v>
      </c>
      <c r="J26" s="68" t="s">
        <v>94</v>
      </c>
      <c r="K26" s="68" t="s">
        <v>99</v>
      </c>
      <c r="L26" s="68" t="str">
        <f>IFERROR(VLOOKUP(tblSOW9[[#This Row],[Employee name ]],[32]Parameters!CP:CS,4,0),"")</f>
        <v/>
      </c>
      <c r="M26" s="91"/>
      <c r="N26" s="67"/>
      <c r="O26" s="76"/>
      <c r="P26" s="72">
        <v>44927</v>
      </c>
      <c r="Q26" s="72">
        <v>45291</v>
      </c>
      <c r="R26" s="67"/>
      <c r="S26" s="67">
        <f t="shared" si="0"/>
        <v>12</v>
      </c>
      <c r="T26" s="68"/>
      <c r="U26" s="68">
        <v>80</v>
      </c>
      <c r="V26" s="68"/>
      <c r="W26" s="68" t="str">
        <f>IF(AND(ISNUMBER(SEARCH("-T",tblSOW9[[#This Row],[Budget Item]])),NOT(ISNUMBER(tblSOW9[[#This Row],[Task Units]]))),"Please Enter Task Units",
IF(AND(ISNUMBER(SEARCH("-E000",tblSOW9[[#This Row],[Budget Item]])),NOT(ISNUMBER(tblSOW9[[#This Row],[% work on project]]))),"Please Enter Organic FTE",
IF(AND(ISNUMBER(SEARCH("-E999",tblSOW9[[#This Row],[Budget Item]])),NOT(ISNUMBER(tblSOW9[[#This Row],[External Expenses/Revenues USD]]))),"Please Enter External Expenses",
"")))</f>
        <v/>
      </c>
      <c r="X26" s="67">
        <f>SUM(tblSOW9[[#This Row],[Jan 2023 USD]:[Dec 2023 USD]])</f>
        <v>63587.397738125328</v>
      </c>
      <c r="Y26" s="74">
        <f>tblSOW9[[#This Row],[FTE Cost]]*tblSOW9[[#This Row],[% work on project]]*AK26/12+tblSOW9[[#This Row],[Task Cost]]*AW26+tblSOW9[[#This Row],[External Expenses/Revenues USD]]*BI26/tblSOW9[[#This Row],[Duration]]</f>
        <v>5298.9498115104452</v>
      </c>
      <c r="Z26" s="74">
        <f>tblSOW9[[#This Row],[FTE Cost]]*tblSOW9[[#This Row],[% work on project]]*AL26/12+tblSOW9[[#This Row],[Task Cost]]*AX26+tblSOW9[[#This Row],[External Expenses/Revenues USD]]*BJ26/tblSOW9[[#This Row],[Duration]]</f>
        <v>5298.9498115104452</v>
      </c>
      <c r="AA26" s="74">
        <f>tblSOW9[[#This Row],[FTE Cost]]*tblSOW9[[#This Row],[% work on project]]*AM26/12+tblSOW9[[#This Row],[Task Cost]]*AY26+tblSOW9[[#This Row],[External Expenses/Revenues USD]]*BK26/tblSOW9[[#This Row],[Duration]]</f>
        <v>5298.9498115104452</v>
      </c>
      <c r="AB26" s="74">
        <f>tblSOW9[[#This Row],[FTE Cost]]*tblSOW9[[#This Row],[% work on project]]*AN26/12+tblSOW9[[#This Row],[Task Cost]]*AZ26+tblSOW9[[#This Row],[External Expenses/Revenues USD]]*BL26/tblSOW9[[#This Row],[Duration]]</f>
        <v>5298.9498115104452</v>
      </c>
      <c r="AC26" s="74">
        <f>tblSOW9[[#This Row],[FTE Cost]]*tblSOW9[[#This Row],[% work on project]]*AO26/12+tblSOW9[[#This Row],[Task Cost]]*BA26+tblSOW9[[#This Row],[External Expenses/Revenues USD]]*BM26/tblSOW9[[#This Row],[Duration]]</f>
        <v>5298.9498115104452</v>
      </c>
      <c r="AD26" s="74">
        <f>tblSOW9[[#This Row],[FTE Cost]]*tblSOW9[[#This Row],[% work on project]]*AP26/12+tblSOW9[[#This Row],[Task Cost]]*BB26+tblSOW9[[#This Row],[External Expenses/Revenues USD]]*BN26/tblSOW9[[#This Row],[Duration]]</f>
        <v>5298.9498115104452</v>
      </c>
      <c r="AE26" s="74">
        <f>tblSOW9[[#This Row],[FTE Cost]]*tblSOW9[[#This Row],[% work on project]]*AQ26/12+tblSOW9[[#This Row],[Task Cost]]*BC26+tblSOW9[[#This Row],[External Expenses/Revenues USD]]*BO26/tblSOW9[[#This Row],[Duration]]</f>
        <v>5298.9498115104452</v>
      </c>
      <c r="AF26" s="74">
        <f>tblSOW9[[#This Row],[FTE Cost]]*tblSOW9[[#This Row],[% work on project]]*AR26/12+tblSOW9[[#This Row],[Task Cost]]*BD26+tblSOW9[[#This Row],[External Expenses/Revenues USD]]*BP26/tblSOW9[[#This Row],[Duration]]</f>
        <v>5298.9498115104452</v>
      </c>
      <c r="AG26" s="74">
        <f>tblSOW9[[#This Row],[FTE Cost]]*tblSOW9[[#This Row],[% work on project]]*AS26/12+tblSOW9[[#This Row],[Task Cost]]*BE26+tblSOW9[[#This Row],[External Expenses/Revenues USD]]*BQ26/tblSOW9[[#This Row],[Duration]]</f>
        <v>5298.9498115104452</v>
      </c>
      <c r="AH26" s="74">
        <f>tblSOW9[[#This Row],[FTE Cost]]*tblSOW9[[#This Row],[% work on project]]*AT26/12+tblSOW9[[#This Row],[Task Cost]]*BF26+tblSOW9[[#This Row],[External Expenses/Revenues USD]]*BR26/tblSOW9[[#This Row],[Duration]]</f>
        <v>5298.9498115104452</v>
      </c>
      <c r="AI26" s="74">
        <f>tblSOW9[[#This Row],[FTE Cost]]*tblSOW9[[#This Row],[% work on project]]*AU26/12+tblSOW9[[#This Row],[Task Cost]]*BG26+tblSOW9[[#This Row],[External Expenses/Revenues USD]]*BS26/tblSOW9[[#This Row],[Duration]]</f>
        <v>5298.9498115104452</v>
      </c>
      <c r="AJ26" s="74">
        <f>tblSOW9[[#This Row],[FTE Cost]]*tblSOW9[[#This Row],[% work on project]]*AV26/12+tblSOW9[[#This Row],[Task Cost]]*BH26+tblSOW9[[#This Row],[External Expenses/Revenues USD]]*BT26/tblSOW9[[#This Row],[Duration]]</f>
        <v>5298.9498115104452</v>
      </c>
      <c r="AK26" s="74">
        <f t="shared" si="10"/>
        <v>1</v>
      </c>
      <c r="AL26" s="74">
        <f t="shared" si="10"/>
        <v>1</v>
      </c>
      <c r="AM26" s="74">
        <f t="shared" si="10"/>
        <v>1</v>
      </c>
      <c r="AN26" s="74">
        <f t="shared" si="7"/>
        <v>1</v>
      </c>
      <c r="AO26" s="74">
        <f t="shared" si="7"/>
        <v>1</v>
      </c>
      <c r="AP26" s="74">
        <f t="shared" si="7"/>
        <v>1</v>
      </c>
      <c r="AQ26" s="74">
        <f t="shared" si="7"/>
        <v>1</v>
      </c>
      <c r="AR26" s="74">
        <f t="shared" si="7"/>
        <v>1</v>
      </c>
      <c r="AS26" s="74">
        <f t="shared" si="7"/>
        <v>1</v>
      </c>
      <c r="AT26" s="74">
        <f t="shared" si="7"/>
        <v>1</v>
      </c>
      <c r="AU26" s="74">
        <f t="shared" si="7"/>
        <v>1</v>
      </c>
      <c r="AV26" s="74">
        <f t="shared" si="7"/>
        <v>1</v>
      </c>
      <c r="AW26" s="74">
        <f t="shared" si="11"/>
        <v>6.666666666666667</v>
      </c>
      <c r="AX26" s="74">
        <f t="shared" si="11"/>
        <v>6.666666666666667</v>
      </c>
      <c r="AY26" s="74">
        <f t="shared" si="11"/>
        <v>6.666666666666667</v>
      </c>
      <c r="AZ26" s="74">
        <f t="shared" si="8"/>
        <v>6.666666666666667</v>
      </c>
      <c r="BA26" s="74">
        <f t="shared" si="8"/>
        <v>6.666666666666667</v>
      </c>
      <c r="BB26" s="74">
        <f t="shared" si="8"/>
        <v>6.666666666666667</v>
      </c>
      <c r="BC26" s="74">
        <f t="shared" si="8"/>
        <v>6.666666666666667</v>
      </c>
      <c r="BD26" s="74">
        <f t="shared" si="8"/>
        <v>6.666666666666667</v>
      </c>
      <c r="BE26" s="74">
        <f t="shared" si="8"/>
        <v>6.666666666666667</v>
      </c>
      <c r="BF26" s="74">
        <f t="shared" si="8"/>
        <v>6.666666666666667</v>
      </c>
      <c r="BG26" s="74">
        <f t="shared" si="8"/>
        <v>6.666666666666667</v>
      </c>
      <c r="BH26" s="74">
        <f t="shared" si="8"/>
        <v>6.666666666666667</v>
      </c>
      <c r="BI26" s="74">
        <f t="shared" si="9"/>
        <v>1</v>
      </c>
      <c r="BJ26" s="74">
        <f t="shared" si="9"/>
        <v>1</v>
      </c>
      <c r="BK26" s="74">
        <f t="shared" si="9"/>
        <v>1</v>
      </c>
      <c r="BL26" s="74">
        <f t="shared" si="9"/>
        <v>1</v>
      </c>
      <c r="BM26" s="74">
        <f t="shared" si="9"/>
        <v>1</v>
      </c>
      <c r="BN26" s="74">
        <f t="shared" si="9"/>
        <v>1</v>
      </c>
      <c r="BO26" s="74">
        <f t="shared" si="9"/>
        <v>1</v>
      </c>
      <c r="BP26" s="74">
        <f t="shared" si="9"/>
        <v>1</v>
      </c>
      <c r="BQ26" s="74">
        <f t="shared" si="9"/>
        <v>1</v>
      </c>
      <c r="BR26" s="74">
        <f t="shared" si="9"/>
        <v>1</v>
      </c>
      <c r="BS26" s="74">
        <f t="shared" si="9"/>
        <v>1</v>
      </c>
      <c r="BT26" s="74">
        <f t="shared" si="9"/>
        <v>1</v>
      </c>
      <c r="BU26" s="74">
        <f>SUM(tblSOW9[[#This Row],[P1]:[P12]])</f>
        <v>12</v>
      </c>
      <c r="BV26" s="74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26" s="74">
        <f>IFERROR(VLOOKUP(K26,[32]Parameters!BN:BW,10,0),0)</f>
        <v>794.84247172656671</v>
      </c>
    </row>
    <row r="27" spans="1:75" s="75" customFormat="1">
      <c r="A27" s="67" t="str">
        <f>CONCATENATE(INDEX([32]Parameters!$U$1:$V$20,MATCH(C27,[32]Parameters!$V$1:$V$20,0),1),"/",VLOOKUP(D27,[32]Parameters!$CG$1:$CH$12,2,0),".",E27,".",H27,".",LEFT(J27,3),"-",LEFT(K27,4))</f>
        <v>B80/20.P273.406.950-T112</v>
      </c>
      <c r="B27" s="67" t="s">
        <v>111</v>
      </c>
      <c r="C27" s="67" t="s">
        <v>164</v>
      </c>
      <c r="D27" s="39" t="s">
        <v>95</v>
      </c>
      <c r="E27" s="40" t="str">
        <f>VLOOKUP(F27,[32]Parameters!P:T,4,0)</f>
        <v>P273</v>
      </c>
      <c r="F27" s="39" t="s">
        <v>170</v>
      </c>
      <c r="G27" s="67" t="s">
        <v>125</v>
      </c>
      <c r="H27" s="67">
        <f>INDEX([32]Parameters!$B:$C,MATCH(I27,[32]Parameters!$C:$C,0),1)</f>
        <v>406</v>
      </c>
      <c r="I27" s="68" t="s">
        <v>106</v>
      </c>
      <c r="J27" s="68" t="s">
        <v>94</v>
      </c>
      <c r="K27" s="68" t="s">
        <v>107</v>
      </c>
      <c r="L27" s="68" t="str">
        <f>IFERROR(VLOOKUP(tblSOW9[[#This Row],[Employee name ]],[32]Parameters!CP:CS,4,0),"")</f>
        <v/>
      </c>
      <c r="M27" s="91"/>
      <c r="N27" s="67"/>
      <c r="O27" s="76"/>
      <c r="P27" s="72">
        <v>44927</v>
      </c>
      <c r="Q27" s="72">
        <v>45291</v>
      </c>
      <c r="R27" s="67"/>
      <c r="S27" s="67">
        <f t="shared" si="0"/>
        <v>12</v>
      </c>
      <c r="T27" s="68"/>
      <c r="U27" s="68">
        <v>25</v>
      </c>
      <c r="V27" s="68"/>
      <c r="W27" s="68" t="str">
        <f>IF(AND(ISNUMBER(SEARCH("-T",tblSOW9[[#This Row],[Budget Item]])),NOT(ISNUMBER(tblSOW9[[#This Row],[Task Units]]))),"Please Enter Task Units",
IF(AND(ISNUMBER(SEARCH("-E000",tblSOW9[[#This Row],[Budget Item]])),NOT(ISNUMBER(tblSOW9[[#This Row],[% work on project]]))),"Please Enter Organic FTE",
IF(AND(ISNUMBER(SEARCH("-E999",tblSOW9[[#This Row],[Budget Item]])),NOT(ISNUMBER(tblSOW9[[#This Row],[External Expenses/Revenues USD]]))),"Please Enter External Expenses",
"")))</f>
        <v/>
      </c>
      <c r="X27" s="67">
        <f>SUM(tblSOW9[[#This Row],[Jan 2023 USD]:[Dec 2023 USD]])</f>
        <v>23734.237551679093</v>
      </c>
      <c r="Y27" s="74">
        <f>tblSOW9[[#This Row],[FTE Cost]]*tblSOW9[[#This Row],[% work on project]]*AK27/12+tblSOW9[[#This Row],[Task Cost]]*AW27+tblSOW9[[#This Row],[External Expenses/Revenues USD]]*BI27/tblSOW9[[#This Row],[Duration]]</f>
        <v>1977.8531293065914</v>
      </c>
      <c r="Z27" s="74">
        <f>tblSOW9[[#This Row],[FTE Cost]]*tblSOW9[[#This Row],[% work on project]]*AL27/12+tblSOW9[[#This Row],[Task Cost]]*AX27+tblSOW9[[#This Row],[External Expenses/Revenues USD]]*BJ27/tblSOW9[[#This Row],[Duration]]</f>
        <v>1977.8531293065914</v>
      </c>
      <c r="AA27" s="74">
        <f>tblSOW9[[#This Row],[FTE Cost]]*tblSOW9[[#This Row],[% work on project]]*AM27/12+tblSOW9[[#This Row],[Task Cost]]*AY27+tblSOW9[[#This Row],[External Expenses/Revenues USD]]*BK27/tblSOW9[[#This Row],[Duration]]</f>
        <v>1977.8531293065914</v>
      </c>
      <c r="AB27" s="74">
        <f>tblSOW9[[#This Row],[FTE Cost]]*tblSOW9[[#This Row],[% work on project]]*AN27/12+tblSOW9[[#This Row],[Task Cost]]*AZ27+tblSOW9[[#This Row],[External Expenses/Revenues USD]]*BL27/tblSOW9[[#This Row],[Duration]]</f>
        <v>1977.8531293065914</v>
      </c>
      <c r="AC27" s="74">
        <f>tblSOW9[[#This Row],[FTE Cost]]*tblSOW9[[#This Row],[% work on project]]*AO27/12+tblSOW9[[#This Row],[Task Cost]]*BA27+tblSOW9[[#This Row],[External Expenses/Revenues USD]]*BM27/tblSOW9[[#This Row],[Duration]]</f>
        <v>1977.8531293065914</v>
      </c>
      <c r="AD27" s="74">
        <f>tblSOW9[[#This Row],[FTE Cost]]*tblSOW9[[#This Row],[% work on project]]*AP27/12+tblSOW9[[#This Row],[Task Cost]]*BB27+tblSOW9[[#This Row],[External Expenses/Revenues USD]]*BN27/tblSOW9[[#This Row],[Duration]]</f>
        <v>1977.8531293065914</v>
      </c>
      <c r="AE27" s="74">
        <f>tblSOW9[[#This Row],[FTE Cost]]*tblSOW9[[#This Row],[% work on project]]*AQ27/12+tblSOW9[[#This Row],[Task Cost]]*BC27+tblSOW9[[#This Row],[External Expenses/Revenues USD]]*BO27/tblSOW9[[#This Row],[Duration]]</f>
        <v>1977.8531293065914</v>
      </c>
      <c r="AF27" s="74">
        <f>tblSOW9[[#This Row],[FTE Cost]]*tblSOW9[[#This Row],[% work on project]]*AR27/12+tblSOW9[[#This Row],[Task Cost]]*BD27+tblSOW9[[#This Row],[External Expenses/Revenues USD]]*BP27/tblSOW9[[#This Row],[Duration]]</f>
        <v>1977.8531293065914</v>
      </c>
      <c r="AG27" s="74">
        <f>tblSOW9[[#This Row],[FTE Cost]]*tblSOW9[[#This Row],[% work on project]]*AS27/12+tblSOW9[[#This Row],[Task Cost]]*BE27+tblSOW9[[#This Row],[External Expenses/Revenues USD]]*BQ27/tblSOW9[[#This Row],[Duration]]</f>
        <v>1977.8531293065914</v>
      </c>
      <c r="AH27" s="74">
        <f>tblSOW9[[#This Row],[FTE Cost]]*tblSOW9[[#This Row],[% work on project]]*AT27/12+tblSOW9[[#This Row],[Task Cost]]*BF27+tblSOW9[[#This Row],[External Expenses/Revenues USD]]*BR27/tblSOW9[[#This Row],[Duration]]</f>
        <v>1977.8531293065914</v>
      </c>
      <c r="AI27" s="74">
        <f>tblSOW9[[#This Row],[FTE Cost]]*tblSOW9[[#This Row],[% work on project]]*AU27/12+tblSOW9[[#This Row],[Task Cost]]*BG27+tblSOW9[[#This Row],[External Expenses/Revenues USD]]*BS27/tblSOW9[[#This Row],[Duration]]</f>
        <v>1977.8531293065914</v>
      </c>
      <c r="AJ27" s="74">
        <f>tblSOW9[[#This Row],[FTE Cost]]*tblSOW9[[#This Row],[% work on project]]*AV27/12+tblSOW9[[#This Row],[Task Cost]]*BH27+tblSOW9[[#This Row],[External Expenses/Revenues USD]]*BT27/tblSOW9[[#This Row],[Duration]]</f>
        <v>1977.8531293065914</v>
      </c>
      <c r="AK27" s="74">
        <f t="shared" si="10"/>
        <v>1</v>
      </c>
      <c r="AL27" s="74">
        <f t="shared" si="10"/>
        <v>1</v>
      </c>
      <c r="AM27" s="74">
        <f t="shared" si="10"/>
        <v>1</v>
      </c>
      <c r="AN27" s="74">
        <f t="shared" si="7"/>
        <v>1</v>
      </c>
      <c r="AO27" s="74">
        <f t="shared" si="7"/>
        <v>1</v>
      </c>
      <c r="AP27" s="74">
        <f t="shared" si="7"/>
        <v>1</v>
      </c>
      <c r="AQ27" s="74">
        <f t="shared" si="7"/>
        <v>1</v>
      </c>
      <c r="AR27" s="74">
        <f t="shared" si="7"/>
        <v>1</v>
      </c>
      <c r="AS27" s="74">
        <f t="shared" si="7"/>
        <v>1</v>
      </c>
      <c r="AT27" s="74">
        <f t="shared" si="7"/>
        <v>1</v>
      </c>
      <c r="AU27" s="74">
        <f t="shared" si="7"/>
        <v>1</v>
      </c>
      <c r="AV27" s="74">
        <f t="shared" si="7"/>
        <v>1</v>
      </c>
      <c r="AW27" s="74">
        <f t="shared" si="11"/>
        <v>2.0833333333333335</v>
      </c>
      <c r="AX27" s="74">
        <f t="shared" si="11"/>
        <v>2.0833333333333335</v>
      </c>
      <c r="AY27" s="74">
        <f t="shared" si="11"/>
        <v>2.0833333333333335</v>
      </c>
      <c r="AZ27" s="74">
        <f t="shared" si="8"/>
        <v>2.0833333333333335</v>
      </c>
      <c r="BA27" s="74">
        <f t="shared" si="8"/>
        <v>2.0833333333333335</v>
      </c>
      <c r="BB27" s="74">
        <f t="shared" si="8"/>
        <v>2.0833333333333335</v>
      </c>
      <c r="BC27" s="74">
        <f t="shared" si="8"/>
        <v>2.0833333333333335</v>
      </c>
      <c r="BD27" s="74">
        <f t="shared" si="8"/>
        <v>2.0833333333333335</v>
      </c>
      <c r="BE27" s="74">
        <f t="shared" si="8"/>
        <v>2.0833333333333335</v>
      </c>
      <c r="BF27" s="74">
        <f t="shared" si="8"/>
        <v>2.0833333333333335</v>
      </c>
      <c r="BG27" s="74">
        <f t="shared" si="8"/>
        <v>2.0833333333333335</v>
      </c>
      <c r="BH27" s="74">
        <f t="shared" si="8"/>
        <v>2.0833333333333335</v>
      </c>
      <c r="BI27" s="74">
        <f t="shared" si="9"/>
        <v>1</v>
      </c>
      <c r="BJ27" s="74">
        <f t="shared" si="9"/>
        <v>1</v>
      </c>
      <c r="BK27" s="74">
        <f t="shared" si="9"/>
        <v>1</v>
      </c>
      <c r="BL27" s="74">
        <f t="shared" si="9"/>
        <v>1</v>
      </c>
      <c r="BM27" s="74">
        <f t="shared" si="9"/>
        <v>1</v>
      </c>
      <c r="BN27" s="74">
        <f t="shared" si="9"/>
        <v>1</v>
      </c>
      <c r="BO27" s="74">
        <f t="shared" si="9"/>
        <v>1</v>
      </c>
      <c r="BP27" s="74">
        <f t="shared" si="9"/>
        <v>1</v>
      </c>
      <c r="BQ27" s="74">
        <f t="shared" si="9"/>
        <v>1</v>
      </c>
      <c r="BR27" s="74">
        <f t="shared" si="9"/>
        <v>1</v>
      </c>
      <c r="BS27" s="74">
        <f t="shared" si="9"/>
        <v>1</v>
      </c>
      <c r="BT27" s="74">
        <f t="shared" si="9"/>
        <v>1</v>
      </c>
      <c r="BU27" s="74">
        <f>SUM(tblSOW9[[#This Row],[P1]:[P12]])</f>
        <v>12</v>
      </c>
      <c r="BV27" s="74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27" s="74">
        <f>IFERROR(VLOOKUP(K27,[32]Parameters!BN:BW,10,0),0)</f>
        <v>949.36950206716381</v>
      </c>
    </row>
    <row r="28" spans="1:75" s="75" customFormat="1">
      <c r="A28" s="67" t="str">
        <f>CONCATENATE(INDEX([32]Parameters!$U$1:$V$20,MATCH(C28,[32]Parameters!$V$1:$V$20,0),1),"/",VLOOKUP(D28,[32]Parameters!$CG$1:$CH$12,2,0),".",E28,".",H28,".",LEFT(J28,3),"-",LEFT(K28,4))</f>
        <v>B80/20.P282.427.950-T109</v>
      </c>
      <c r="B28" s="67" t="s">
        <v>111</v>
      </c>
      <c r="C28" s="67" t="s">
        <v>164</v>
      </c>
      <c r="D28" s="39" t="s">
        <v>95</v>
      </c>
      <c r="E28" s="40" t="str">
        <f>VLOOKUP(F28,[32]Parameters!P:T,4,0)</f>
        <v>P282</v>
      </c>
      <c r="F28" s="39" t="s">
        <v>171</v>
      </c>
      <c r="G28" s="67" t="s">
        <v>125</v>
      </c>
      <c r="H28" s="67">
        <f>INDEX([32]Parameters!$B:$C,MATCH(I28,[32]Parameters!$C:$C,0),1)</f>
        <v>427</v>
      </c>
      <c r="I28" s="68" t="s">
        <v>104</v>
      </c>
      <c r="J28" s="68" t="s">
        <v>94</v>
      </c>
      <c r="K28" s="68" t="s">
        <v>105</v>
      </c>
      <c r="L28" s="68" t="str">
        <f>IFERROR(VLOOKUP(tblSOW9[[#This Row],[Employee name ]],[32]Parameters!CP:CS,4,0),"")</f>
        <v/>
      </c>
      <c r="M28" s="91"/>
      <c r="N28" s="67"/>
      <c r="O28" s="76"/>
      <c r="P28" s="72">
        <v>44927</v>
      </c>
      <c r="Q28" s="72">
        <v>45291</v>
      </c>
      <c r="R28" s="67"/>
      <c r="S28" s="67">
        <f t="shared" si="0"/>
        <v>12</v>
      </c>
      <c r="T28" s="68"/>
      <c r="U28" s="68">
        <v>150</v>
      </c>
      <c r="V28" s="68"/>
      <c r="W28" s="68" t="str">
        <f>IF(AND(ISNUMBER(SEARCH("-T",tblSOW9[[#This Row],[Budget Item]])),NOT(ISNUMBER(tblSOW9[[#This Row],[Task Units]]))),"Please Enter Task Units",
IF(AND(ISNUMBER(SEARCH("-E000",tblSOW9[[#This Row],[Budget Item]])),NOT(ISNUMBER(tblSOW9[[#This Row],[% work on project]]))),"Please Enter Organic FTE",
IF(AND(ISNUMBER(SEARCH("-E999",tblSOW9[[#This Row],[Budget Item]])),NOT(ISNUMBER(tblSOW9[[#This Row],[External Expenses/Revenues USD]]))),"Please Enter External Expenses",
"")))</f>
        <v/>
      </c>
      <c r="X28" s="67">
        <f>SUM(tblSOW9[[#This Row],[Jan 2023 USD]:[Dec 2023 USD]])</f>
        <v>115457.19163338297</v>
      </c>
      <c r="Y28" s="74">
        <f>tblSOW9[[#This Row],[FTE Cost]]*tblSOW9[[#This Row],[% work on project]]*AK28/12+tblSOW9[[#This Row],[Task Cost]]*AW28+tblSOW9[[#This Row],[External Expenses/Revenues USD]]*BI28/tblSOW9[[#This Row],[Duration]]</f>
        <v>9621.4326361152453</v>
      </c>
      <c r="Z28" s="74">
        <f>tblSOW9[[#This Row],[FTE Cost]]*tblSOW9[[#This Row],[% work on project]]*AL28/12+tblSOW9[[#This Row],[Task Cost]]*AX28+tblSOW9[[#This Row],[External Expenses/Revenues USD]]*BJ28/tblSOW9[[#This Row],[Duration]]</f>
        <v>9621.4326361152453</v>
      </c>
      <c r="AA28" s="74">
        <f>tblSOW9[[#This Row],[FTE Cost]]*tblSOW9[[#This Row],[% work on project]]*AM28/12+tblSOW9[[#This Row],[Task Cost]]*AY28+tblSOW9[[#This Row],[External Expenses/Revenues USD]]*BK28/tblSOW9[[#This Row],[Duration]]</f>
        <v>9621.4326361152453</v>
      </c>
      <c r="AB28" s="74">
        <f>tblSOW9[[#This Row],[FTE Cost]]*tblSOW9[[#This Row],[% work on project]]*AN28/12+tblSOW9[[#This Row],[Task Cost]]*AZ28+tblSOW9[[#This Row],[External Expenses/Revenues USD]]*BL28/tblSOW9[[#This Row],[Duration]]</f>
        <v>9621.4326361152453</v>
      </c>
      <c r="AC28" s="74">
        <f>tblSOW9[[#This Row],[FTE Cost]]*tblSOW9[[#This Row],[% work on project]]*AO28/12+tblSOW9[[#This Row],[Task Cost]]*BA28+tblSOW9[[#This Row],[External Expenses/Revenues USD]]*BM28/tblSOW9[[#This Row],[Duration]]</f>
        <v>9621.4326361152453</v>
      </c>
      <c r="AD28" s="74">
        <f>tblSOW9[[#This Row],[FTE Cost]]*tblSOW9[[#This Row],[% work on project]]*AP28/12+tblSOW9[[#This Row],[Task Cost]]*BB28+tblSOW9[[#This Row],[External Expenses/Revenues USD]]*BN28/tblSOW9[[#This Row],[Duration]]</f>
        <v>9621.4326361152453</v>
      </c>
      <c r="AE28" s="74">
        <f>tblSOW9[[#This Row],[FTE Cost]]*tblSOW9[[#This Row],[% work on project]]*AQ28/12+tblSOW9[[#This Row],[Task Cost]]*BC28+tblSOW9[[#This Row],[External Expenses/Revenues USD]]*BO28/tblSOW9[[#This Row],[Duration]]</f>
        <v>9621.4326361152453</v>
      </c>
      <c r="AF28" s="74">
        <f>tblSOW9[[#This Row],[FTE Cost]]*tblSOW9[[#This Row],[% work on project]]*AR28/12+tblSOW9[[#This Row],[Task Cost]]*BD28+tblSOW9[[#This Row],[External Expenses/Revenues USD]]*BP28/tblSOW9[[#This Row],[Duration]]</f>
        <v>9621.4326361152453</v>
      </c>
      <c r="AG28" s="74">
        <f>tblSOW9[[#This Row],[FTE Cost]]*tblSOW9[[#This Row],[% work on project]]*AS28/12+tblSOW9[[#This Row],[Task Cost]]*BE28+tblSOW9[[#This Row],[External Expenses/Revenues USD]]*BQ28/tblSOW9[[#This Row],[Duration]]</f>
        <v>9621.4326361152453</v>
      </c>
      <c r="AH28" s="74">
        <f>tblSOW9[[#This Row],[FTE Cost]]*tblSOW9[[#This Row],[% work on project]]*AT28/12+tblSOW9[[#This Row],[Task Cost]]*BF28+tblSOW9[[#This Row],[External Expenses/Revenues USD]]*BR28/tblSOW9[[#This Row],[Duration]]</f>
        <v>9621.4326361152453</v>
      </c>
      <c r="AI28" s="74">
        <f>tblSOW9[[#This Row],[FTE Cost]]*tblSOW9[[#This Row],[% work on project]]*AU28/12+tblSOW9[[#This Row],[Task Cost]]*BG28+tblSOW9[[#This Row],[External Expenses/Revenues USD]]*BS28/tblSOW9[[#This Row],[Duration]]</f>
        <v>9621.4326361152453</v>
      </c>
      <c r="AJ28" s="74">
        <f>tblSOW9[[#This Row],[FTE Cost]]*tblSOW9[[#This Row],[% work on project]]*AV28/12+tblSOW9[[#This Row],[Task Cost]]*BH28+tblSOW9[[#This Row],[External Expenses/Revenues USD]]*BT28/tblSOW9[[#This Row],[Duration]]</f>
        <v>9621.4326361152453</v>
      </c>
      <c r="AK28" s="74">
        <f t="shared" si="10"/>
        <v>1</v>
      </c>
      <c r="AL28" s="74">
        <f t="shared" si="10"/>
        <v>1</v>
      </c>
      <c r="AM28" s="74">
        <f t="shared" si="10"/>
        <v>1</v>
      </c>
      <c r="AN28" s="74">
        <f t="shared" si="7"/>
        <v>1</v>
      </c>
      <c r="AO28" s="74">
        <f t="shared" si="7"/>
        <v>1</v>
      </c>
      <c r="AP28" s="74">
        <f t="shared" si="7"/>
        <v>1</v>
      </c>
      <c r="AQ28" s="74">
        <f t="shared" si="7"/>
        <v>1</v>
      </c>
      <c r="AR28" s="74">
        <f t="shared" si="7"/>
        <v>1</v>
      </c>
      <c r="AS28" s="74">
        <f t="shared" si="7"/>
        <v>1</v>
      </c>
      <c r="AT28" s="74">
        <f t="shared" si="7"/>
        <v>1</v>
      </c>
      <c r="AU28" s="74">
        <f t="shared" si="7"/>
        <v>1</v>
      </c>
      <c r="AV28" s="74">
        <f t="shared" si="7"/>
        <v>1</v>
      </c>
      <c r="AW28" s="74">
        <f t="shared" si="11"/>
        <v>12.5</v>
      </c>
      <c r="AX28" s="74">
        <f t="shared" si="11"/>
        <v>12.5</v>
      </c>
      <c r="AY28" s="74">
        <f t="shared" si="11"/>
        <v>12.5</v>
      </c>
      <c r="AZ28" s="74">
        <f t="shared" si="8"/>
        <v>12.5</v>
      </c>
      <c r="BA28" s="74">
        <f t="shared" si="8"/>
        <v>12.5</v>
      </c>
      <c r="BB28" s="74">
        <f t="shared" si="8"/>
        <v>12.5</v>
      </c>
      <c r="BC28" s="74">
        <f t="shared" si="8"/>
        <v>12.5</v>
      </c>
      <c r="BD28" s="74">
        <f t="shared" si="8"/>
        <v>12.5</v>
      </c>
      <c r="BE28" s="74">
        <f t="shared" si="8"/>
        <v>12.5</v>
      </c>
      <c r="BF28" s="74">
        <f t="shared" si="8"/>
        <v>12.5</v>
      </c>
      <c r="BG28" s="74">
        <f t="shared" si="8"/>
        <v>12.5</v>
      </c>
      <c r="BH28" s="74">
        <f t="shared" si="8"/>
        <v>12.5</v>
      </c>
      <c r="BI28" s="74">
        <f t="shared" si="9"/>
        <v>1</v>
      </c>
      <c r="BJ28" s="74">
        <f t="shared" si="9"/>
        <v>1</v>
      </c>
      <c r="BK28" s="74">
        <f t="shared" si="9"/>
        <v>1</v>
      </c>
      <c r="BL28" s="74">
        <f t="shared" si="9"/>
        <v>1</v>
      </c>
      <c r="BM28" s="74">
        <f t="shared" si="9"/>
        <v>1</v>
      </c>
      <c r="BN28" s="74">
        <f t="shared" si="9"/>
        <v>1</v>
      </c>
      <c r="BO28" s="74">
        <f t="shared" si="9"/>
        <v>1</v>
      </c>
      <c r="BP28" s="74">
        <f t="shared" si="9"/>
        <v>1</v>
      </c>
      <c r="BQ28" s="74">
        <f t="shared" si="9"/>
        <v>1</v>
      </c>
      <c r="BR28" s="74">
        <f t="shared" si="9"/>
        <v>1</v>
      </c>
      <c r="BS28" s="74">
        <f t="shared" si="9"/>
        <v>1</v>
      </c>
      <c r="BT28" s="74">
        <f t="shared" si="9"/>
        <v>1</v>
      </c>
      <c r="BU28" s="74">
        <f>SUM(tblSOW9[[#This Row],[P1]:[P12]])</f>
        <v>12</v>
      </c>
      <c r="BV28" s="74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28" s="74">
        <f>IFERROR(VLOOKUP(K28,[32]Parameters!BN:BW,10,0),0)</f>
        <v>769.71461088921956</v>
      </c>
    </row>
    <row r="29" spans="1:75" s="36" customFormat="1">
      <c r="A29" s="5"/>
      <c r="B29" s="5"/>
      <c r="C29" s="5"/>
      <c r="D29" s="39"/>
      <c r="E29" s="40"/>
      <c r="F29" s="39"/>
      <c r="G29" s="5"/>
      <c r="H29" s="5"/>
      <c r="I29" s="3"/>
      <c r="J29" s="3"/>
      <c r="K29" s="3"/>
      <c r="L29" s="3" t="str">
        <f>IFERROR(VLOOKUP(tblSOW9[[#This Row],[Employee name ]],[32]Parameters!CP:CS,4,0),"")</f>
        <v/>
      </c>
      <c r="M29" s="46"/>
      <c r="N29" s="5"/>
      <c r="O29" s="42"/>
      <c r="P29" s="8"/>
      <c r="Q29" s="8"/>
      <c r="R29" s="5"/>
      <c r="S29" s="5"/>
      <c r="T29" s="3"/>
      <c r="U29" s="3"/>
      <c r="V29" s="3"/>
      <c r="W29" s="3"/>
      <c r="X29" s="5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29" s="43"/>
    </row>
    <row r="30" spans="1:75" s="36" customFormat="1">
      <c r="A30" s="5"/>
      <c r="B30" s="5"/>
      <c r="C30" s="5"/>
      <c r="D30" s="39"/>
      <c r="E30" s="40"/>
      <c r="F30" s="39"/>
      <c r="G30" s="5"/>
      <c r="H30" s="5"/>
      <c r="I30" s="3"/>
      <c r="J30" s="3"/>
      <c r="K30" s="3"/>
      <c r="L30" s="3" t="str">
        <f>IFERROR(VLOOKUP(tblSOW9[[#This Row],[Employee name ]],[32]Parameters!CP:CS,4,0),"")</f>
        <v/>
      </c>
      <c r="M30" s="46"/>
      <c r="N30" s="5"/>
      <c r="O30" s="42"/>
      <c r="P30" s="8"/>
      <c r="Q30" s="8"/>
      <c r="R30" s="5"/>
      <c r="S30" s="5"/>
      <c r="T30" s="3"/>
      <c r="U30" s="3"/>
      <c r="V30" s="3"/>
      <c r="W30" s="3"/>
      <c r="X30" s="5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30" s="43"/>
    </row>
    <row r="31" spans="1:75" s="36" customFormat="1">
      <c r="A31" s="5"/>
      <c r="B31" s="5"/>
      <c r="C31" s="5"/>
      <c r="D31" s="39"/>
      <c r="E31" s="40"/>
      <c r="F31" s="39"/>
      <c r="G31" s="5"/>
      <c r="H31" s="5"/>
      <c r="I31" s="3"/>
      <c r="J31" s="3"/>
      <c r="K31" s="3"/>
      <c r="L31" s="3" t="str">
        <f>IFERROR(VLOOKUP(tblSOW9[[#This Row],[Employee name ]],[32]Parameters!CP:CS,4,0),"")</f>
        <v/>
      </c>
      <c r="M31" s="46"/>
      <c r="N31" s="5"/>
      <c r="O31" s="42"/>
      <c r="P31" s="8"/>
      <c r="Q31" s="8"/>
      <c r="R31" s="5"/>
      <c r="S31" s="5"/>
      <c r="T31" s="3"/>
      <c r="U31" s="3"/>
      <c r="V31" s="3"/>
      <c r="W31" s="3"/>
      <c r="X31" s="5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31" s="43"/>
    </row>
    <row r="32" spans="1:75" s="36" customFormat="1">
      <c r="A32" s="5"/>
      <c r="B32" s="5"/>
      <c r="C32" s="5"/>
      <c r="D32" s="39"/>
      <c r="E32" s="40"/>
      <c r="F32" s="39"/>
      <c r="G32" s="5"/>
      <c r="H32" s="5"/>
      <c r="I32" s="3"/>
      <c r="J32" s="3"/>
      <c r="K32" s="3"/>
      <c r="L32" s="3" t="str">
        <f>IFERROR(VLOOKUP(tblSOW9[[#This Row],[Employee name ]],[32]Parameters!CP:CS,4,0),"")</f>
        <v/>
      </c>
      <c r="M32" s="46"/>
      <c r="N32" s="5"/>
      <c r="O32" s="42"/>
      <c r="P32" s="8"/>
      <c r="Q32" s="8"/>
      <c r="R32" s="5"/>
      <c r="S32" s="5"/>
      <c r="T32" s="3"/>
      <c r="U32" s="3"/>
      <c r="V32" s="3"/>
      <c r="W32" s="3"/>
      <c r="X32" s="5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32" s="43"/>
    </row>
    <row r="33" spans="1:75" s="36" customFormat="1">
      <c r="A33" s="5"/>
      <c r="B33" s="5"/>
      <c r="C33" s="5"/>
      <c r="D33" s="39"/>
      <c r="E33" s="40"/>
      <c r="F33" s="39"/>
      <c r="G33" s="5"/>
      <c r="H33" s="5"/>
      <c r="I33" s="3"/>
      <c r="J33" s="3"/>
      <c r="K33" s="3"/>
      <c r="L33" s="3" t="str">
        <f>IFERROR(VLOOKUP(tblSOW9[[#This Row],[Employee name ]],[32]Parameters!CP:CS,4,0),"")</f>
        <v/>
      </c>
      <c r="M33" s="46"/>
      <c r="N33" s="5"/>
      <c r="O33" s="42"/>
      <c r="P33" s="8"/>
      <c r="Q33" s="8"/>
      <c r="R33" s="5"/>
      <c r="S33" s="5"/>
      <c r="T33" s="3"/>
      <c r="U33" s="3"/>
      <c r="V33" s="3"/>
      <c r="W33" s="3"/>
      <c r="X33" s="5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33" s="43"/>
    </row>
    <row r="34" spans="1:75" s="36" customFormat="1">
      <c r="A34" s="5"/>
      <c r="B34" s="5"/>
      <c r="C34" s="5"/>
      <c r="D34" s="39"/>
      <c r="E34" s="40"/>
      <c r="F34" s="39"/>
      <c r="G34" s="5"/>
      <c r="H34" s="5"/>
      <c r="I34" s="3"/>
      <c r="J34" s="3"/>
      <c r="K34" s="3"/>
      <c r="L34" s="3" t="str">
        <f>IFERROR(VLOOKUP(tblSOW9[[#This Row],[Employee name ]],[32]Parameters!CP:CS,4,0),"")</f>
        <v/>
      </c>
      <c r="M34" s="46"/>
      <c r="N34" s="5"/>
      <c r="O34" s="42"/>
      <c r="P34" s="8"/>
      <c r="Q34" s="8"/>
      <c r="R34" s="5"/>
      <c r="S34" s="5"/>
      <c r="T34" s="3"/>
      <c r="U34" s="3"/>
      <c r="V34" s="3"/>
      <c r="W34" s="3"/>
      <c r="X34" s="5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34" s="43"/>
    </row>
    <row r="35" spans="1:75" s="36" customFormat="1">
      <c r="A35" s="5"/>
      <c r="B35" s="5"/>
      <c r="C35" s="5"/>
      <c r="D35" s="39"/>
      <c r="E35" s="40"/>
      <c r="F35" s="39"/>
      <c r="G35" s="5"/>
      <c r="H35" s="5"/>
      <c r="I35" s="3"/>
      <c r="J35" s="3"/>
      <c r="K35" s="3"/>
      <c r="L35" s="3" t="str">
        <f>IFERROR(VLOOKUP(tblSOW9[[#This Row],[Employee name ]],[32]Parameters!CP:CS,4,0),"")</f>
        <v/>
      </c>
      <c r="M35" s="46"/>
      <c r="N35" s="5"/>
      <c r="O35" s="42"/>
      <c r="P35" s="8"/>
      <c r="Q35" s="8"/>
      <c r="R35" s="5"/>
      <c r="S35" s="5"/>
      <c r="T35" s="3"/>
      <c r="U35" s="3"/>
      <c r="V35" s="3"/>
      <c r="W35" s="3"/>
      <c r="X35" s="5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35" s="43"/>
    </row>
    <row r="36" spans="1:75" s="36" customFormat="1">
      <c r="A36" s="5"/>
      <c r="B36" s="5"/>
      <c r="C36" s="5"/>
      <c r="D36" s="39"/>
      <c r="E36" s="40"/>
      <c r="F36" s="39"/>
      <c r="G36" s="5"/>
      <c r="H36" s="5"/>
      <c r="I36" s="3"/>
      <c r="J36" s="3"/>
      <c r="K36" s="3"/>
      <c r="L36" s="3" t="str">
        <f>IFERROR(VLOOKUP(tblSOW9[[#This Row],[Employee name ]],[32]Parameters!CP:CS,4,0),"")</f>
        <v/>
      </c>
      <c r="M36" s="46"/>
      <c r="N36" s="5"/>
      <c r="O36" s="42"/>
      <c r="P36" s="8"/>
      <c r="Q36" s="8"/>
      <c r="R36" s="5"/>
      <c r="S36" s="5"/>
      <c r="T36" s="3"/>
      <c r="U36" s="3"/>
      <c r="V36" s="3"/>
      <c r="W36" s="3"/>
      <c r="X36" s="5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36" s="43"/>
    </row>
    <row r="37" spans="1:75" s="36" customFormat="1">
      <c r="A37" s="5"/>
      <c r="B37" s="5"/>
      <c r="C37" s="5"/>
      <c r="D37" s="39"/>
      <c r="E37" s="40"/>
      <c r="F37" s="39"/>
      <c r="G37" s="5"/>
      <c r="H37" s="5"/>
      <c r="I37" s="3"/>
      <c r="J37" s="3"/>
      <c r="K37" s="3"/>
      <c r="L37" s="3" t="str">
        <f>IFERROR(VLOOKUP(tblSOW9[[#This Row],[Employee name ]],[32]Parameters!CP:CS,4,0),"")</f>
        <v/>
      </c>
      <c r="M37" s="46"/>
      <c r="N37" s="5"/>
      <c r="O37" s="42"/>
      <c r="P37" s="8"/>
      <c r="Q37" s="8"/>
      <c r="R37" s="5"/>
      <c r="S37" s="5"/>
      <c r="T37" s="3"/>
      <c r="U37" s="3"/>
      <c r="V37" s="3"/>
      <c r="W37" s="3"/>
      <c r="X37" s="5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37" s="43"/>
    </row>
    <row r="38" spans="1:75" s="36" customFormat="1">
      <c r="A38" s="5"/>
      <c r="B38" s="5"/>
      <c r="C38" s="5"/>
      <c r="D38" s="39"/>
      <c r="E38" s="40"/>
      <c r="F38" s="39"/>
      <c r="G38" s="5"/>
      <c r="H38" s="5"/>
      <c r="I38" s="3"/>
      <c r="J38" s="3"/>
      <c r="K38" s="3"/>
      <c r="L38" s="3" t="str">
        <f>IFERROR(VLOOKUP(tblSOW9[[#This Row],[Employee name ]],[32]Parameters!CP:CS,4,0),"")</f>
        <v/>
      </c>
      <c r="M38" s="46"/>
      <c r="N38" s="5"/>
      <c r="O38" s="42"/>
      <c r="P38" s="8"/>
      <c r="Q38" s="8"/>
      <c r="R38" s="5"/>
      <c r="S38" s="5"/>
      <c r="T38" s="3"/>
      <c r="U38" s="3"/>
      <c r="V38" s="3"/>
      <c r="W38" s="3"/>
      <c r="X38" s="5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38" s="43"/>
    </row>
    <row r="39" spans="1:75" s="36" customFormat="1">
      <c r="A39" s="5"/>
      <c r="B39" s="5"/>
      <c r="C39" s="5"/>
      <c r="D39" s="39"/>
      <c r="E39" s="40"/>
      <c r="F39" s="39"/>
      <c r="G39" s="5"/>
      <c r="H39" s="5"/>
      <c r="I39" s="3"/>
      <c r="J39" s="3"/>
      <c r="K39" s="3"/>
      <c r="L39" s="3" t="str">
        <f>IFERROR(VLOOKUP(tblSOW9[[#This Row],[Employee name ]],[32]Parameters!CP:CS,4,0),"")</f>
        <v/>
      </c>
      <c r="M39" s="46"/>
      <c r="N39" s="5"/>
      <c r="O39" s="42"/>
      <c r="P39" s="8"/>
      <c r="Q39" s="8"/>
      <c r="R39" s="5"/>
      <c r="S39" s="5"/>
      <c r="T39" s="3"/>
      <c r="U39" s="3"/>
      <c r="V39" s="3"/>
      <c r="W39" s="3"/>
      <c r="X39" s="5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39" s="43"/>
    </row>
    <row r="40" spans="1:75" s="36" customFormat="1">
      <c r="A40" s="5"/>
      <c r="B40" s="5"/>
      <c r="C40" s="5"/>
      <c r="D40" s="39"/>
      <c r="E40" s="40"/>
      <c r="F40" s="39"/>
      <c r="G40" s="5"/>
      <c r="H40" s="5"/>
      <c r="I40" s="3"/>
      <c r="J40" s="3"/>
      <c r="K40" s="3"/>
      <c r="L40" s="3" t="str">
        <f>IFERROR(VLOOKUP(tblSOW9[[#This Row],[Employee name ]],[32]Parameters!CP:CS,4,0),"")</f>
        <v/>
      </c>
      <c r="M40" s="46"/>
      <c r="N40" s="5"/>
      <c r="O40" s="42"/>
      <c r="P40" s="8"/>
      <c r="Q40" s="8"/>
      <c r="R40" s="5"/>
      <c r="S40" s="5"/>
      <c r="T40" s="3"/>
      <c r="U40" s="3"/>
      <c r="V40" s="3"/>
      <c r="W40" s="3"/>
      <c r="X40" s="5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40" s="43"/>
    </row>
    <row r="41" spans="1:75" s="36" customFormat="1">
      <c r="A41" s="5"/>
      <c r="B41" s="5"/>
      <c r="C41" s="5"/>
      <c r="D41" s="39"/>
      <c r="E41" s="40"/>
      <c r="F41" s="39"/>
      <c r="G41" s="5"/>
      <c r="H41" s="5"/>
      <c r="I41" s="3"/>
      <c r="J41" s="3"/>
      <c r="K41" s="3"/>
      <c r="L41" s="3" t="str">
        <f>IFERROR(VLOOKUP(tblSOW9[[#This Row],[Employee name ]],[32]Parameters!CP:CS,4,0),"")</f>
        <v/>
      </c>
      <c r="M41" s="46"/>
      <c r="N41" s="5"/>
      <c r="O41" s="42"/>
      <c r="P41" s="8"/>
      <c r="Q41" s="8"/>
      <c r="R41" s="5"/>
      <c r="S41" s="5"/>
      <c r="T41" s="3"/>
      <c r="U41" s="3"/>
      <c r="V41" s="3"/>
      <c r="W41" s="3"/>
      <c r="X41" s="5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41" s="43"/>
    </row>
    <row r="42" spans="1:75" s="36" customFormat="1">
      <c r="A42" s="5"/>
      <c r="B42" s="5"/>
      <c r="C42" s="5"/>
      <c r="D42" s="39"/>
      <c r="E42" s="40"/>
      <c r="F42" s="39"/>
      <c r="G42" s="5"/>
      <c r="H42" s="5"/>
      <c r="I42" s="3"/>
      <c r="J42" s="3"/>
      <c r="K42" s="3"/>
      <c r="L42" s="3" t="str">
        <f>IFERROR(VLOOKUP(tblSOW9[[#This Row],[Employee name ]],[32]Parameters!CP:CS,4,0),"")</f>
        <v/>
      </c>
      <c r="M42" s="46"/>
      <c r="N42" s="5"/>
      <c r="O42" s="42"/>
      <c r="P42" s="8"/>
      <c r="Q42" s="8"/>
      <c r="R42" s="5"/>
      <c r="S42" s="5"/>
      <c r="T42" s="3"/>
      <c r="U42" s="3"/>
      <c r="V42" s="3"/>
      <c r="W42" s="3"/>
      <c r="X42" s="5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42" s="43"/>
    </row>
    <row r="43" spans="1:75" s="36" customFormat="1">
      <c r="A43" s="5"/>
      <c r="B43" s="5"/>
      <c r="C43" s="5"/>
      <c r="D43" s="39"/>
      <c r="E43" s="40"/>
      <c r="F43" s="39"/>
      <c r="G43" s="5"/>
      <c r="H43" s="5"/>
      <c r="I43" s="3"/>
      <c r="J43" s="3"/>
      <c r="K43" s="3"/>
      <c r="L43" s="3" t="str">
        <f>IFERROR(VLOOKUP(tblSOW9[[#This Row],[Employee name ]],[32]Parameters!CP:CS,4,0),"")</f>
        <v/>
      </c>
      <c r="M43" s="46"/>
      <c r="N43" s="5"/>
      <c r="O43" s="42"/>
      <c r="P43" s="8"/>
      <c r="Q43" s="8"/>
      <c r="R43" s="5"/>
      <c r="S43" s="5"/>
      <c r="T43" s="3"/>
      <c r="U43" s="3"/>
      <c r="V43" s="3"/>
      <c r="W43" s="3"/>
      <c r="X43" s="5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43" s="43"/>
    </row>
    <row r="44" spans="1:75" s="36" customFormat="1">
      <c r="A44" s="5"/>
      <c r="B44" s="5"/>
      <c r="C44" s="5"/>
      <c r="D44" s="39"/>
      <c r="E44" s="40"/>
      <c r="F44" s="39"/>
      <c r="G44" s="5"/>
      <c r="H44" s="5"/>
      <c r="I44" s="3"/>
      <c r="J44" s="3"/>
      <c r="K44" s="3"/>
      <c r="L44" s="3" t="str">
        <f>IFERROR(VLOOKUP(tblSOW9[[#This Row],[Employee name ]],[32]Parameters!CP:CS,4,0),"")</f>
        <v/>
      </c>
      <c r="M44" s="46"/>
      <c r="N44" s="5"/>
      <c r="O44" s="42"/>
      <c r="P44" s="8"/>
      <c r="Q44" s="8"/>
      <c r="R44" s="5"/>
      <c r="S44" s="5"/>
      <c r="T44" s="3"/>
      <c r="U44" s="3"/>
      <c r="V44" s="3"/>
      <c r="W44" s="3"/>
      <c r="X44" s="5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44" s="43"/>
    </row>
    <row r="45" spans="1:75" s="36" customFormat="1">
      <c r="A45" s="5"/>
      <c r="B45" s="5"/>
      <c r="C45" s="5"/>
      <c r="D45" s="39"/>
      <c r="E45" s="40"/>
      <c r="F45" s="39"/>
      <c r="G45" s="5"/>
      <c r="H45" s="5"/>
      <c r="I45" s="3"/>
      <c r="J45" s="3"/>
      <c r="K45" s="3"/>
      <c r="L45" s="3" t="str">
        <f>IFERROR(VLOOKUP(tblSOW9[[#This Row],[Employee name ]],[32]Parameters!CP:CS,4,0),"")</f>
        <v/>
      </c>
      <c r="M45" s="46"/>
      <c r="N45" s="5"/>
      <c r="O45" s="42"/>
      <c r="P45" s="8"/>
      <c r="Q45" s="8"/>
      <c r="R45" s="5"/>
      <c r="S45" s="5"/>
      <c r="T45" s="3"/>
      <c r="U45" s="3"/>
      <c r="V45" s="3"/>
      <c r="W45" s="3"/>
      <c r="X45" s="5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45" s="43"/>
    </row>
    <row r="46" spans="1:75" s="36" customFormat="1">
      <c r="A46" s="5"/>
      <c r="B46" s="5"/>
      <c r="C46" s="5"/>
      <c r="D46" s="39"/>
      <c r="E46" s="40"/>
      <c r="F46" s="39"/>
      <c r="G46" s="5"/>
      <c r="H46" s="5"/>
      <c r="I46" s="3"/>
      <c r="J46" s="3"/>
      <c r="K46" s="3"/>
      <c r="L46" s="3" t="str">
        <f>IFERROR(VLOOKUP(tblSOW9[[#This Row],[Employee name ]],[32]Parameters!CP:CS,4,0),"")</f>
        <v/>
      </c>
      <c r="M46" s="46"/>
      <c r="N46" s="5"/>
      <c r="O46" s="42"/>
      <c r="P46" s="8"/>
      <c r="Q46" s="8"/>
      <c r="R46" s="5"/>
      <c r="S46" s="5"/>
      <c r="T46" s="3"/>
      <c r="U46" s="3"/>
      <c r="V46" s="3"/>
      <c r="W46" s="3"/>
      <c r="X46" s="5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46" s="43"/>
    </row>
    <row r="47" spans="1:75" s="36" customFormat="1">
      <c r="A47" s="5"/>
      <c r="B47" s="5"/>
      <c r="C47" s="5"/>
      <c r="D47" s="39"/>
      <c r="E47" s="40"/>
      <c r="F47" s="39"/>
      <c r="G47" s="5"/>
      <c r="H47" s="5"/>
      <c r="I47" s="3"/>
      <c r="J47" s="3"/>
      <c r="K47" s="3"/>
      <c r="L47" s="3" t="str">
        <f>IFERROR(VLOOKUP(tblSOW9[[#This Row],[Employee name ]],[32]Parameters!CP:CS,4,0),"")</f>
        <v/>
      </c>
      <c r="M47" s="46"/>
      <c r="N47" s="5"/>
      <c r="O47" s="42"/>
      <c r="P47" s="8"/>
      <c r="Q47" s="8"/>
      <c r="R47" s="5"/>
      <c r="S47" s="5"/>
      <c r="T47" s="3"/>
      <c r="U47" s="3"/>
      <c r="V47" s="3"/>
      <c r="W47" s="3"/>
      <c r="X47" s="5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47" s="43"/>
    </row>
    <row r="48" spans="1:75" s="36" customFormat="1">
      <c r="A48" s="5"/>
      <c r="B48" s="5"/>
      <c r="C48" s="5"/>
      <c r="D48" s="39"/>
      <c r="E48" s="40"/>
      <c r="F48" s="39"/>
      <c r="G48" s="5"/>
      <c r="H48" s="5"/>
      <c r="I48" s="3"/>
      <c r="J48" s="3"/>
      <c r="K48" s="3"/>
      <c r="L48" s="3" t="str">
        <f>IFERROR(VLOOKUP(tblSOW9[[#This Row],[Employee name ]],[32]Parameters!CP:CS,4,0),"")</f>
        <v/>
      </c>
      <c r="M48" s="46"/>
      <c r="N48" s="5"/>
      <c r="O48" s="42"/>
      <c r="P48" s="8"/>
      <c r="Q48" s="8"/>
      <c r="R48" s="5"/>
      <c r="S48" s="5"/>
      <c r="T48" s="3"/>
      <c r="U48" s="3"/>
      <c r="V48" s="3"/>
      <c r="W48" s="3"/>
      <c r="X48" s="5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48" s="43"/>
    </row>
    <row r="49" spans="1:75" s="36" customFormat="1">
      <c r="A49" s="5"/>
      <c r="B49" s="5"/>
      <c r="C49" s="5"/>
      <c r="D49" s="39"/>
      <c r="E49" s="40"/>
      <c r="F49" s="39"/>
      <c r="G49" s="5"/>
      <c r="H49" s="5"/>
      <c r="I49" s="3"/>
      <c r="J49" s="3"/>
      <c r="K49" s="3"/>
      <c r="L49" s="3" t="str">
        <f>IFERROR(VLOOKUP(tblSOW9[[#This Row],[Employee name ]],[32]Parameters!CP:CS,4,0),"")</f>
        <v/>
      </c>
      <c r="M49" s="46"/>
      <c r="N49" s="5"/>
      <c r="O49" s="42"/>
      <c r="P49" s="8"/>
      <c r="Q49" s="8"/>
      <c r="R49" s="5"/>
      <c r="S49" s="5"/>
      <c r="T49" s="3"/>
      <c r="U49" s="3"/>
      <c r="V49" s="3"/>
      <c r="W49" s="3"/>
      <c r="X49" s="5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49" s="43"/>
    </row>
    <row r="50" spans="1:75" s="36" customFormat="1">
      <c r="A50" s="5"/>
      <c r="B50" s="5"/>
      <c r="C50" s="5"/>
      <c r="D50" s="39"/>
      <c r="E50" s="40"/>
      <c r="F50" s="39"/>
      <c r="G50" s="5"/>
      <c r="H50" s="5"/>
      <c r="I50" s="3"/>
      <c r="J50" s="3"/>
      <c r="K50" s="3"/>
      <c r="L50" s="3" t="str">
        <f>IFERROR(VLOOKUP(tblSOW9[[#This Row],[Employee name ]],[32]Parameters!CP:CS,4,0),"")</f>
        <v/>
      </c>
      <c r="M50" s="46"/>
      <c r="N50" s="5"/>
      <c r="O50" s="42"/>
      <c r="P50" s="8"/>
      <c r="Q50" s="8"/>
      <c r="R50" s="5"/>
      <c r="S50" s="5"/>
      <c r="T50" s="3"/>
      <c r="U50" s="3"/>
      <c r="V50" s="3"/>
      <c r="W50" s="3"/>
      <c r="X50" s="5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50" s="43"/>
    </row>
    <row r="51" spans="1:75" s="36" customFormat="1">
      <c r="A51" s="5"/>
      <c r="B51" s="5"/>
      <c r="C51" s="5"/>
      <c r="D51" s="39"/>
      <c r="E51" s="40"/>
      <c r="F51" s="39"/>
      <c r="G51" s="5"/>
      <c r="H51" s="5"/>
      <c r="I51" s="3"/>
      <c r="J51" s="3"/>
      <c r="K51" s="3"/>
      <c r="L51" s="3" t="str">
        <f>IFERROR(VLOOKUP(tblSOW9[[#This Row],[Employee name ]],[32]Parameters!CP:CS,4,0),"")</f>
        <v/>
      </c>
      <c r="M51" s="46"/>
      <c r="N51" s="5"/>
      <c r="O51" s="42"/>
      <c r="P51" s="8"/>
      <c r="Q51" s="8"/>
      <c r="R51" s="5"/>
      <c r="S51" s="5"/>
      <c r="T51" s="3"/>
      <c r="U51" s="3"/>
      <c r="V51" s="3"/>
      <c r="W51" s="3"/>
      <c r="X51" s="5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51" s="43"/>
    </row>
    <row r="52" spans="1:75" s="36" customFormat="1">
      <c r="A52" s="5"/>
      <c r="B52" s="5"/>
      <c r="C52" s="5"/>
      <c r="D52" s="39"/>
      <c r="E52" s="40"/>
      <c r="F52" s="39"/>
      <c r="G52" s="5"/>
      <c r="H52" s="5"/>
      <c r="I52" s="3"/>
      <c r="J52" s="3"/>
      <c r="K52" s="3"/>
      <c r="L52" s="3" t="str">
        <f>IFERROR(VLOOKUP(tblSOW9[[#This Row],[Employee name ]],[32]Parameters!CP:CS,4,0),"")</f>
        <v/>
      </c>
      <c r="M52" s="46"/>
      <c r="N52" s="5"/>
      <c r="O52" s="42"/>
      <c r="P52" s="8"/>
      <c r="Q52" s="8"/>
      <c r="R52" s="5"/>
      <c r="S52" s="5"/>
      <c r="T52" s="3"/>
      <c r="U52" s="3"/>
      <c r="V52" s="3"/>
      <c r="W52" s="3"/>
      <c r="X52" s="5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52" s="43"/>
    </row>
    <row r="53" spans="1:75" s="36" customFormat="1">
      <c r="A53" s="5"/>
      <c r="B53" s="5"/>
      <c r="C53" s="5"/>
      <c r="D53" s="39"/>
      <c r="E53" s="40"/>
      <c r="F53" s="39"/>
      <c r="G53" s="5"/>
      <c r="H53" s="5"/>
      <c r="I53" s="3"/>
      <c r="J53" s="3"/>
      <c r="K53" s="3"/>
      <c r="L53" s="3" t="str">
        <f>IFERROR(VLOOKUP(tblSOW9[[#This Row],[Employee name ]],[32]Parameters!CP:CS,4,0),"")</f>
        <v/>
      </c>
      <c r="M53" s="46"/>
      <c r="N53" s="5"/>
      <c r="O53" s="42"/>
      <c r="P53" s="8"/>
      <c r="Q53" s="8"/>
      <c r="R53" s="5"/>
      <c r="S53" s="5"/>
      <c r="T53" s="3"/>
      <c r="U53" s="3"/>
      <c r="V53" s="3"/>
      <c r="W53" s="3"/>
      <c r="X53" s="5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53" s="43"/>
    </row>
    <row r="54" spans="1:75" s="36" customFormat="1">
      <c r="A54" s="5"/>
      <c r="B54" s="5"/>
      <c r="C54" s="5"/>
      <c r="D54" s="39"/>
      <c r="E54" s="40"/>
      <c r="F54" s="39"/>
      <c r="G54" s="5"/>
      <c r="H54" s="5"/>
      <c r="I54" s="3"/>
      <c r="J54" s="3"/>
      <c r="K54" s="3"/>
      <c r="L54" s="3" t="str">
        <f>IFERROR(VLOOKUP(tblSOW9[[#This Row],[Employee name ]],[32]Parameters!CP:CS,4,0),"")</f>
        <v/>
      </c>
      <c r="M54" s="46"/>
      <c r="N54" s="5"/>
      <c r="O54" s="42"/>
      <c r="P54" s="8"/>
      <c r="Q54" s="8"/>
      <c r="R54" s="5"/>
      <c r="S54" s="5"/>
      <c r="T54" s="3"/>
      <c r="U54" s="3"/>
      <c r="V54" s="3"/>
      <c r="W54" s="3"/>
      <c r="X54" s="5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54" s="43"/>
    </row>
    <row r="55" spans="1:75" s="36" customFormat="1">
      <c r="A55" s="5"/>
      <c r="B55" s="5"/>
      <c r="C55" s="5"/>
      <c r="D55" s="39"/>
      <c r="E55" s="40"/>
      <c r="F55" s="39"/>
      <c r="G55" s="5"/>
      <c r="H55" s="5"/>
      <c r="I55" s="3"/>
      <c r="J55" s="3"/>
      <c r="K55" s="3"/>
      <c r="L55" s="3" t="str">
        <f>IFERROR(VLOOKUP(tblSOW9[[#This Row],[Employee name ]],[32]Parameters!CP:CS,4,0),"")</f>
        <v/>
      </c>
      <c r="M55" s="46"/>
      <c r="N55" s="5"/>
      <c r="O55" s="42"/>
      <c r="P55" s="8"/>
      <c r="Q55" s="8"/>
      <c r="R55" s="5"/>
      <c r="S55" s="5"/>
      <c r="T55" s="3"/>
      <c r="U55" s="3"/>
      <c r="V55" s="3"/>
      <c r="W55" s="3"/>
      <c r="X55" s="5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55" s="43"/>
    </row>
    <row r="56" spans="1:75" s="36" customFormat="1">
      <c r="A56" s="5"/>
      <c r="B56" s="5"/>
      <c r="C56" s="5"/>
      <c r="D56" s="39"/>
      <c r="E56" s="40"/>
      <c r="F56" s="39"/>
      <c r="G56" s="5"/>
      <c r="H56" s="5"/>
      <c r="I56" s="3"/>
      <c r="J56" s="3"/>
      <c r="K56" s="3"/>
      <c r="L56" s="3" t="str">
        <f>IFERROR(VLOOKUP(tblSOW9[[#This Row],[Employee name ]],[32]Parameters!CP:CS,4,0),"")</f>
        <v/>
      </c>
      <c r="M56" s="46"/>
      <c r="N56" s="5"/>
      <c r="O56" s="42"/>
      <c r="P56" s="8"/>
      <c r="Q56" s="8"/>
      <c r="R56" s="5"/>
      <c r="S56" s="5"/>
      <c r="T56" s="3"/>
      <c r="U56" s="3"/>
      <c r="V56" s="3"/>
      <c r="W56" s="3"/>
      <c r="X56" s="5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56" s="43"/>
    </row>
    <row r="57" spans="1:75" s="36" customFormat="1">
      <c r="A57" s="5"/>
      <c r="B57" s="5"/>
      <c r="C57" s="5"/>
      <c r="D57" s="39"/>
      <c r="E57" s="40"/>
      <c r="F57" s="39"/>
      <c r="G57" s="5"/>
      <c r="H57" s="5"/>
      <c r="I57" s="3"/>
      <c r="J57" s="3"/>
      <c r="K57" s="3"/>
      <c r="L57" s="3" t="str">
        <f>IFERROR(VLOOKUP(tblSOW9[[#This Row],[Employee name ]],[32]Parameters!CP:CS,4,0),"")</f>
        <v/>
      </c>
      <c r="M57" s="46"/>
      <c r="N57" s="5"/>
      <c r="O57" s="42"/>
      <c r="P57" s="8"/>
      <c r="Q57" s="8"/>
      <c r="R57" s="5"/>
      <c r="S57" s="5"/>
      <c r="T57" s="3"/>
      <c r="U57" s="3"/>
      <c r="V57" s="3"/>
      <c r="W57" s="3"/>
      <c r="X57" s="5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57" s="43"/>
    </row>
    <row r="58" spans="1:75" s="36" customFormat="1">
      <c r="A58" s="5"/>
      <c r="B58" s="5"/>
      <c r="C58" s="5"/>
      <c r="D58" s="39"/>
      <c r="E58" s="40"/>
      <c r="F58" s="39"/>
      <c r="G58" s="5"/>
      <c r="H58" s="5"/>
      <c r="I58" s="3"/>
      <c r="J58" s="3"/>
      <c r="K58" s="3"/>
      <c r="L58" s="3" t="str">
        <f>IFERROR(VLOOKUP(tblSOW9[[#This Row],[Employee name ]],[32]Parameters!CP:CS,4,0),"")</f>
        <v/>
      </c>
      <c r="M58" s="46"/>
      <c r="N58" s="5"/>
      <c r="O58" s="42"/>
      <c r="P58" s="8"/>
      <c r="Q58" s="8"/>
      <c r="R58" s="5"/>
      <c r="S58" s="5"/>
      <c r="T58" s="3"/>
      <c r="U58" s="3"/>
      <c r="V58" s="3"/>
      <c r="W58" s="3"/>
      <c r="X58" s="5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58" s="43"/>
    </row>
    <row r="59" spans="1:75" s="36" customFormat="1">
      <c r="A59" s="5"/>
      <c r="B59" s="5"/>
      <c r="C59" s="5"/>
      <c r="D59" s="39"/>
      <c r="E59" s="40"/>
      <c r="F59" s="39"/>
      <c r="G59" s="5"/>
      <c r="H59" s="5"/>
      <c r="I59" s="3"/>
      <c r="J59" s="3"/>
      <c r="K59" s="3"/>
      <c r="L59" s="3" t="str">
        <f>IFERROR(VLOOKUP(tblSOW9[[#This Row],[Employee name ]],[32]Parameters!CP:CS,4,0),"")</f>
        <v/>
      </c>
      <c r="M59" s="46"/>
      <c r="N59" s="5"/>
      <c r="O59" s="42"/>
      <c r="P59" s="8"/>
      <c r="Q59" s="8"/>
      <c r="R59" s="5"/>
      <c r="S59" s="5"/>
      <c r="T59" s="3"/>
      <c r="U59" s="3"/>
      <c r="V59" s="3"/>
      <c r="W59" s="3"/>
      <c r="X59" s="5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59" s="43"/>
    </row>
    <row r="60" spans="1:75" s="36" customFormat="1">
      <c r="A60" s="5"/>
      <c r="B60" s="5"/>
      <c r="C60" s="5"/>
      <c r="D60" s="39"/>
      <c r="E60" s="40"/>
      <c r="F60" s="39"/>
      <c r="G60" s="5"/>
      <c r="H60" s="5"/>
      <c r="I60" s="3"/>
      <c r="J60" s="3"/>
      <c r="K60" s="3"/>
      <c r="L60" s="3" t="str">
        <f>IFERROR(VLOOKUP(tblSOW9[[#This Row],[Employee name ]],[32]Parameters!CP:CS,4,0),"")</f>
        <v/>
      </c>
      <c r="M60" s="46"/>
      <c r="N60" s="5"/>
      <c r="O60" s="42"/>
      <c r="P60" s="8"/>
      <c r="Q60" s="8"/>
      <c r="R60" s="5"/>
      <c r="S60" s="5"/>
      <c r="T60" s="3"/>
      <c r="U60" s="3"/>
      <c r="V60" s="3"/>
      <c r="W60" s="3"/>
      <c r="X60" s="5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60" s="43"/>
    </row>
    <row r="61" spans="1:75" s="36" customFormat="1">
      <c r="A61" s="5"/>
      <c r="B61" s="5"/>
      <c r="C61" s="5"/>
      <c r="D61" s="39"/>
      <c r="E61" s="40"/>
      <c r="F61" s="39"/>
      <c r="G61" s="5"/>
      <c r="H61" s="5"/>
      <c r="I61" s="3"/>
      <c r="J61" s="3"/>
      <c r="K61" s="3"/>
      <c r="L61" s="3" t="str">
        <f>IFERROR(VLOOKUP(tblSOW9[[#This Row],[Employee name ]],[32]Parameters!CP:CS,4,0),"")</f>
        <v/>
      </c>
      <c r="M61" s="46"/>
      <c r="N61" s="5"/>
      <c r="O61" s="42"/>
      <c r="P61" s="8"/>
      <c r="Q61" s="8"/>
      <c r="R61" s="5"/>
      <c r="S61" s="5"/>
      <c r="T61" s="3"/>
      <c r="U61" s="3"/>
      <c r="V61" s="3"/>
      <c r="W61" s="3"/>
      <c r="X61" s="5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61" s="43"/>
    </row>
    <row r="62" spans="1:75" s="36" customFormat="1">
      <c r="A62" s="5"/>
      <c r="B62" s="5"/>
      <c r="C62" s="5"/>
      <c r="D62" s="39"/>
      <c r="E62" s="40"/>
      <c r="F62" s="39"/>
      <c r="G62" s="5"/>
      <c r="H62" s="5"/>
      <c r="I62" s="3"/>
      <c r="J62" s="3"/>
      <c r="K62" s="3"/>
      <c r="L62" s="3" t="str">
        <f>IFERROR(VLOOKUP(tblSOW9[[#This Row],[Employee name ]],[32]Parameters!CP:CS,4,0),"")</f>
        <v/>
      </c>
      <c r="M62" s="46"/>
      <c r="N62" s="5"/>
      <c r="O62" s="42"/>
      <c r="P62" s="8"/>
      <c r="Q62" s="8"/>
      <c r="R62" s="5"/>
      <c r="S62" s="5"/>
      <c r="T62" s="3"/>
      <c r="U62" s="3"/>
      <c r="V62" s="3"/>
      <c r="W62" s="3"/>
      <c r="X62" s="5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62" s="43"/>
    </row>
    <row r="63" spans="1:75" s="36" customFormat="1">
      <c r="A63" s="5"/>
      <c r="B63" s="5"/>
      <c r="C63" s="5"/>
      <c r="D63" s="39"/>
      <c r="E63" s="40"/>
      <c r="F63" s="39"/>
      <c r="G63" s="5"/>
      <c r="H63" s="5"/>
      <c r="I63" s="3"/>
      <c r="J63" s="3"/>
      <c r="K63" s="3"/>
      <c r="L63" s="3" t="str">
        <f>IFERROR(VLOOKUP(tblSOW9[[#This Row],[Employee name ]],[32]Parameters!CP:CS,4,0),"")</f>
        <v/>
      </c>
      <c r="M63" s="46"/>
      <c r="N63" s="5"/>
      <c r="O63" s="42"/>
      <c r="P63" s="8"/>
      <c r="Q63" s="8"/>
      <c r="R63" s="5"/>
      <c r="S63" s="5"/>
      <c r="T63" s="3"/>
      <c r="U63" s="3"/>
      <c r="V63" s="3"/>
      <c r="W63" s="3"/>
      <c r="X63" s="5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63" s="43"/>
    </row>
    <row r="64" spans="1:75" s="36" customFormat="1">
      <c r="A64" s="5"/>
      <c r="B64" s="5"/>
      <c r="C64" s="5"/>
      <c r="D64" s="39"/>
      <c r="E64" s="40"/>
      <c r="F64" s="39"/>
      <c r="G64" s="5"/>
      <c r="H64" s="5"/>
      <c r="I64" s="3"/>
      <c r="J64" s="3"/>
      <c r="K64" s="3"/>
      <c r="L64" s="3" t="str">
        <f>IFERROR(VLOOKUP(tblSOW9[[#This Row],[Employee name ]],[32]Parameters!CP:CS,4,0),"")</f>
        <v/>
      </c>
      <c r="M64" s="46"/>
      <c r="N64" s="5"/>
      <c r="O64" s="42"/>
      <c r="P64" s="8"/>
      <c r="Q64" s="8"/>
      <c r="R64" s="5"/>
      <c r="S64" s="5"/>
      <c r="T64" s="3"/>
      <c r="U64" s="3"/>
      <c r="V64" s="3"/>
      <c r="W64" s="3"/>
      <c r="X64" s="5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64" s="43"/>
    </row>
    <row r="65" spans="1:75" s="36" customFormat="1">
      <c r="A65" s="5"/>
      <c r="B65" s="5"/>
      <c r="C65" s="5"/>
      <c r="D65" s="39"/>
      <c r="E65" s="40"/>
      <c r="F65" s="39"/>
      <c r="G65" s="5"/>
      <c r="H65" s="5"/>
      <c r="I65" s="3"/>
      <c r="J65" s="3"/>
      <c r="K65" s="3"/>
      <c r="L65" s="3" t="str">
        <f>IFERROR(VLOOKUP(tblSOW9[[#This Row],[Employee name ]],[32]Parameters!CP:CS,4,0),"")</f>
        <v/>
      </c>
      <c r="M65" s="46"/>
      <c r="N65" s="5"/>
      <c r="O65" s="42"/>
      <c r="P65" s="8"/>
      <c r="Q65" s="8"/>
      <c r="R65" s="5"/>
      <c r="S65" s="5"/>
      <c r="T65" s="3"/>
      <c r="U65" s="3"/>
      <c r="V65" s="3"/>
      <c r="W65" s="3"/>
      <c r="X65" s="5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65" s="43"/>
    </row>
    <row r="66" spans="1:75" s="36" customFormat="1">
      <c r="A66" s="5"/>
      <c r="B66" s="5"/>
      <c r="C66" s="5"/>
      <c r="D66" s="39"/>
      <c r="E66" s="40"/>
      <c r="F66" s="39"/>
      <c r="G66" s="5"/>
      <c r="H66" s="5"/>
      <c r="I66" s="3"/>
      <c r="J66" s="3"/>
      <c r="K66" s="3"/>
      <c r="L66" s="3" t="str">
        <f>IFERROR(VLOOKUP(tblSOW9[[#This Row],[Employee name ]],[32]Parameters!CP:CS,4,0),"")</f>
        <v/>
      </c>
      <c r="M66" s="46"/>
      <c r="N66" s="5"/>
      <c r="O66" s="42"/>
      <c r="P66" s="8"/>
      <c r="Q66" s="8"/>
      <c r="R66" s="5"/>
      <c r="S66" s="5"/>
      <c r="T66" s="3"/>
      <c r="U66" s="3"/>
      <c r="V66" s="3"/>
      <c r="W66" s="3"/>
      <c r="X66" s="5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66" s="43"/>
    </row>
    <row r="67" spans="1:75" s="36" customFormat="1">
      <c r="A67" s="5"/>
      <c r="B67" s="5"/>
      <c r="C67" s="5"/>
      <c r="D67" s="39"/>
      <c r="E67" s="40"/>
      <c r="F67" s="39"/>
      <c r="G67" s="5"/>
      <c r="H67" s="5"/>
      <c r="I67" s="3"/>
      <c r="J67" s="3"/>
      <c r="K67" s="3"/>
      <c r="L67" s="3" t="str">
        <f>IFERROR(VLOOKUP(tblSOW9[[#This Row],[Employee name ]],[32]Parameters!CP:CS,4,0),"")</f>
        <v/>
      </c>
      <c r="M67" s="46"/>
      <c r="N67" s="5"/>
      <c r="O67" s="42"/>
      <c r="P67" s="8"/>
      <c r="Q67" s="8"/>
      <c r="R67" s="5"/>
      <c r="S67" s="5"/>
      <c r="T67" s="3"/>
      <c r="U67" s="3"/>
      <c r="V67" s="3"/>
      <c r="W67" s="3"/>
      <c r="X67" s="5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67" s="43"/>
    </row>
    <row r="68" spans="1:75" s="36" customFormat="1">
      <c r="A68" s="5"/>
      <c r="B68" s="5"/>
      <c r="C68" s="5"/>
      <c r="D68" s="39"/>
      <c r="E68" s="40"/>
      <c r="F68" s="39"/>
      <c r="G68" s="5"/>
      <c r="H68" s="5"/>
      <c r="I68" s="3"/>
      <c r="J68" s="3"/>
      <c r="K68" s="3"/>
      <c r="L68" s="3" t="str">
        <f>IFERROR(VLOOKUP(tblSOW9[[#This Row],[Employee name ]],[32]Parameters!CP:CS,4,0),"")</f>
        <v/>
      </c>
      <c r="M68" s="46"/>
      <c r="N68" s="5"/>
      <c r="O68" s="42"/>
      <c r="P68" s="8"/>
      <c r="Q68" s="8"/>
      <c r="R68" s="5"/>
      <c r="S68" s="5"/>
      <c r="T68" s="3"/>
      <c r="U68" s="3"/>
      <c r="V68" s="3"/>
      <c r="W68" s="3"/>
      <c r="X68" s="5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68" s="43"/>
    </row>
    <row r="69" spans="1:75" s="36" customFormat="1">
      <c r="A69" s="5"/>
      <c r="B69" s="5"/>
      <c r="C69" s="5"/>
      <c r="D69" s="39"/>
      <c r="E69" s="40"/>
      <c r="F69" s="39"/>
      <c r="G69" s="5"/>
      <c r="H69" s="5"/>
      <c r="I69" s="3"/>
      <c r="J69" s="3"/>
      <c r="K69" s="3"/>
      <c r="L69" s="3" t="str">
        <f>IFERROR(VLOOKUP(tblSOW9[[#This Row],[Employee name ]],[32]Parameters!CP:CS,4,0),"")</f>
        <v/>
      </c>
      <c r="M69" s="46"/>
      <c r="N69" s="5"/>
      <c r="O69" s="42"/>
      <c r="P69" s="8"/>
      <c r="Q69" s="8"/>
      <c r="R69" s="5"/>
      <c r="S69" s="5"/>
      <c r="T69" s="3"/>
      <c r="U69" s="3"/>
      <c r="V69" s="3"/>
      <c r="W69" s="3"/>
      <c r="X69" s="5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69" s="43"/>
    </row>
    <row r="70" spans="1:75" s="36" customFormat="1">
      <c r="A70" s="5"/>
      <c r="B70" s="5"/>
      <c r="C70" s="5"/>
      <c r="D70" s="39"/>
      <c r="E70" s="40"/>
      <c r="F70" s="39"/>
      <c r="G70" s="5"/>
      <c r="H70" s="5"/>
      <c r="I70" s="3"/>
      <c r="J70" s="3"/>
      <c r="K70" s="3"/>
      <c r="L70" s="3" t="str">
        <f>IFERROR(VLOOKUP(tblSOW9[[#This Row],[Employee name ]],[32]Parameters!CP:CS,4,0),"")</f>
        <v/>
      </c>
      <c r="M70" s="46"/>
      <c r="N70" s="5"/>
      <c r="O70" s="42"/>
      <c r="P70" s="8"/>
      <c r="Q70" s="8"/>
      <c r="R70" s="5"/>
      <c r="S70" s="5"/>
      <c r="T70" s="3"/>
      <c r="U70" s="3"/>
      <c r="V70" s="3"/>
      <c r="W70" s="3"/>
      <c r="X70" s="5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70" s="43"/>
    </row>
    <row r="71" spans="1:75" s="36" customFormat="1">
      <c r="A71" s="5"/>
      <c r="B71" s="5"/>
      <c r="C71" s="5"/>
      <c r="D71" s="39"/>
      <c r="E71" s="40"/>
      <c r="F71" s="39"/>
      <c r="G71" s="5"/>
      <c r="H71" s="5"/>
      <c r="I71" s="3"/>
      <c r="J71" s="3"/>
      <c r="K71" s="3"/>
      <c r="L71" s="3" t="str">
        <f>IFERROR(VLOOKUP(tblSOW9[[#This Row],[Employee name ]],[32]Parameters!CP:CS,4,0),"")</f>
        <v/>
      </c>
      <c r="M71" s="46"/>
      <c r="N71" s="5"/>
      <c r="O71" s="42"/>
      <c r="P71" s="8"/>
      <c r="Q71" s="8"/>
      <c r="R71" s="5"/>
      <c r="S71" s="5"/>
      <c r="T71" s="3"/>
      <c r="U71" s="3"/>
      <c r="V71" s="3"/>
      <c r="W71" s="3"/>
      <c r="X71" s="5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71" s="43"/>
    </row>
    <row r="72" spans="1:75" s="36" customFormat="1">
      <c r="A72" s="5"/>
      <c r="B72" s="5"/>
      <c r="C72" s="5"/>
      <c r="D72" s="39"/>
      <c r="E72" s="40"/>
      <c r="F72" s="39"/>
      <c r="G72" s="5"/>
      <c r="H72" s="5"/>
      <c r="I72" s="3"/>
      <c r="J72" s="3"/>
      <c r="K72" s="3"/>
      <c r="L72" s="3" t="str">
        <f>IFERROR(VLOOKUP(tblSOW9[[#This Row],[Employee name ]],[32]Parameters!CP:CS,4,0),"")</f>
        <v/>
      </c>
      <c r="M72" s="46"/>
      <c r="N72" s="5"/>
      <c r="O72" s="42"/>
      <c r="P72" s="8"/>
      <c r="Q72" s="8"/>
      <c r="R72" s="5"/>
      <c r="S72" s="5"/>
      <c r="T72" s="3"/>
      <c r="U72" s="3"/>
      <c r="V72" s="3"/>
      <c r="W72" s="3"/>
      <c r="X72" s="5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72" s="43"/>
    </row>
    <row r="73" spans="1:75" s="36" customFormat="1">
      <c r="A73" s="5"/>
      <c r="B73" s="5"/>
      <c r="C73" s="5"/>
      <c r="D73" s="39"/>
      <c r="E73" s="40"/>
      <c r="F73" s="39"/>
      <c r="G73" s="5"/>
      <c r="H73" s="5"/>
      <c r="I73" s="3"/>
      <c r="J73" s="3"/>
      <c r="K73" s="3"/>
      <c r="L73" s="3" t="str">
        <f>IFERROR(VLOOKUP(tblSOW9[[#This Row],[Employee name ]],[32]Parameters!CP:CS,4,0),"")</f>
        <v/>
      </c>
      <c r="M73" s="46"/>
      <c r="N73" s="5"/>
      <c r="O73" s="42"/>
      <c r="P73" s="8"/>
      <c r="Q73" s="8"/>
      <c r="R73" s="5"/>
      <c r="S73" s="5"/>
      <c r="T73" s="3"/>
      <c r="U73" s="3"/>
      <c r="V73" s="3"/>
      <c r="W73" s="3"/>
      <c r="X73" s="5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73" s="43"/>
    </row>
    <row r="74" spans="1:75" s="36" customFormat="1">
      <c r="A74" s="5"/>
      <c r="B74" s="5"/>
      <c r="C74" s="5"/>
      <c r="D74" s="39"/>
      <c r="E74" s="40"/>
      <c r="F74" s="39"/>
      <c r="G74" s="5"/>
      <c r="H74" s="5"/>
      <c r="I74" s="3"/>
      <c r="J74" s="3"/>
      <c r="K74" s="3"/>
      <c r="L74" s="3" t="str">
        <f>IFERROR(VLOOKUP(tblSOW9[[#This Row],[Employee name ]],[32]Parameters!CP:CS,4,0),"")</f>
        <v/>
      </c>
      <c r="M74" s="46"/>
      <c r="N74" s="5"/>
      <c r="O74" s="42"/>
      <c r="P74" s="8"/>
      <c r="Q74" s="8"/>
      <c r="R74" s="5"/>
      <c r="S74" s="5"/>
      <c r="T74" s="3"/>
      <c r="U74" s="3"/>
      <c r="V74" s="3"/>
      <c r="W74" s="3"/>
      <c r="X74" s="5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74" s="43"/>
    </row>
    <row r="75" spans="1:75" s="36" customFormat="1">
      <c r="A75" s="5"/>
      <c r="B75" s="5"/>
      <c r="C75" s="5"/>
      <c r="D75" s="39"/>
      <c r="E75" s="40"/>
      <c r="F75" s="39"/>
      <c r="G75" s="5"/>
      <c r="H75" s="5"/>
      <c r="I75" s="3"/>
      <c r="J75" s="3"/>
      <c r="K75" s="3"/>
      <c r="L75" s="3" t="str">
        <f>IFERROR(VLOOKUP(tblSOW9[[#This Row],[Employee name ]],[32]Parameters!CP:CS,4,0),"")</f>
        <v/>
      </c>
      <c r="M75" s="46"/>
      <c r="N75" s="5"/>
      <c r="O75" s="42"/>
      <c r="P75" s="8"/>
      <c r="Q75" s="8"/>
      <c r="R75" s="5"/>
      <c r="S75" s="5"/>
      <c r="T75" s="3"/>
      <c r="U75" s="3"/>
      <c r="V75" s="3"/>
      <c r="W75" s="3"/>
      <c r="X75" s="5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75" s="43"/>
    </row>
    <row r="76" spans="1:75" s="36" customFormat="1">
      <c r="A76" s="5"/>
      <c r="B76" s="5"/>
      <c r="C76" s="5"/>
      <c r="D76" s="39"/>
      <c r="E76" s="39"/>
      <c r="F76" s="39"/>
      <c r="G76" s="5"/>
      <c r="H76" s="132"/>
      <c r="I76" s="3"/>
      <c r="J76" s="3"/>
      <c r="K76" s="3"/>
      <c r="L76" s="3" t="str">
        <f>IFERROR(VLOOKUP(tblSOW9[[#This Row],[Employee name ]],[32]Parameters!CP:CS,4,0),"")</f>
        <v/>
      </c>
      <c r="M76" s="85"/>
      <c r="N76" s="5"/>
      <c r="O76" s="3"/>
      <c r="P76" s="8"/>
      <c r="Q76" s="8"/>
      <c r="R76" s="5"/>
      <c r="S76" s="5"/>
      <c r="T76" s="3"/>
      <c r="U76" s="3"/>
      <c r="V76" s="3"/>
      <c r="W76" s="3"/>
      <c r="X76" s="5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76" s="43"/>
    </row>
    <row r="77" spans="1:75" s="36" customFormat="1">
      <c r="A77" s="5"/>
      <c r="B77" s="5"/>
      <c r="C77" s="5"/>
      <c r="D77" s="39"/>
      <c r="E77" s="39"/>
      <c r="F77" s="39"/>
      <c r="G77" s="5"/>
      <c r="H77" s="132"/>
      <c r="I77" s="3"/>
      <c r="J77" s="3"/>
      <c r="K77" s="3"/>
      <c r="L77" s="3" t="str">
        <f>IFERROR(VLOOKUP(tblSOW9[[#This Row],[Employee name ]],[32]Parameters!CP:CS,4,0),"")</f>
        <v/>
      </c>
      <c r="M77" s="85"/>
      <c r="N77" s="5"/>
      <c r="O77" s="3"/>
      <c r="P77" s="8"/>
      <c r="Q77" s="8"/>
      <c r="R77" s="5"/>
      <c r="S77" s="5"/>
      <c r="T77" s="3"/>
      <c r="U77" s="3"/>
      <c r="V77" s="3"/>
      <c r="W77" s="3"/>
      <c r="X77" s="5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77" s="43"/>
    </row>
    <row r="78" spans="1:75" s="36" customFormat="1">
      <c r="A78" s="5"/>
      <c r="B78" s="5"/>
      <c r="C78" s="5"/>
      <c r="D78" s="39"/>
      <c r="E78" s="39"/>
      <c r="F78" s="39"/>
      <c r="G78" s="4"/>
      <c r="H78" s="5"/>
      <c r="I78" s="3"/>
      <c r="J78" s="3"/>
      <c r="K78" s="3"/>
      <c r="L78" s="3" t="str">
        <f>IFERROR(VLOOKUP(tblSOW9[[#This Row],[Employee name ]],[32]Parameters!CP:CS,4,0),"")</f>
        <v/>
      </c>
      <c r="M78" s="85"/>
      <c r="N78" s="5"/>
      <c r="O78" s="42"/>
      <c r="P78" s="8"/>
      <c r="Q78" s="8"/>
      <c r="R78" s="5"/>
      <c r="S78" s="5"/>
      <c r="T78" s="3"/>
      <c r="U78" s="3"/>
      <c r="V78" s="3"/>
      <c r="W78" s="3"/>
      <c r="X78" s="5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78" s="43"/>
    </row>
    <row r="79" spans="1:75" s="36" customFormat="1">
      <c r="A79" s="5"/>
      <c r="B79" s="5"/>
      <c r="C79" s="5"/>
      <c r="D79" s="39"/>
      <c r="E79" s="39"/>
      <c r="F79" s="39"/>
      <c r="G79" s="4"/>
      <c r="H79" s="5"/>
      <c r="I79" s="3"/>
      <c r="J79" s="3"/>
      <c r="K79" s="3"/>
      <c r="L79" s="3" t="str">
        <f>IFERROR(VLOOKUP(tblSOW9[[#This Row],[Employee name ]],[32]Parameters!CP:CS,4,0),"")</f>
        <v/>
      </c>
      <c r="M79" s="85"/>
      <c r="N79" s="5"/>
      <c r="O79" s="42"/>
      <c r="P79" s="8"/>
      <c r="Q79" s="8"/>
      <c r="R79" s="5"/>
      <c r="S79" s="5"/>
      <c r="T79" s="3"/>
      <c r="U79" s="3"/>
      <c r="V79" s="3"/>
      <c r="W79" s="3"/>
      <c r="X79" s="5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79" s="43"/>
    </row>
    <row r="80" spans="1:75" s="36" customFormat="1">
      <c r="A80" s="5"/>
      <c r="B80" s="5"/>
      <c r="C80" s="5"/>
      <c r="D80" s="39"/>
      <c r="E80" s="39"/>
      <c r="F80" s="39"/>
      <c r="G80" s="4"/>
      <c r="H80" s="5"/>
      <c r="I80" s="3"/>
      <c r="J80" s="3"/>
      <c r="K80" s="3"/>
      <c r="L80" s="3" t="str">
        <f>IFERROR(VLOOKUP(tblSOW9[[#This Row],[Employee name ]],[32]Parameters!CP:CS,4,0),"")</f>
        <v/>
      </c>
      <c r="M80" s="85"/>
      <c r="N80" s="5"/>
      <c r="O80" s="42"/>
      <c r="P80" s="8"/>
      <c r="Q80" s="8"/>
      <c r="R80" s="5"/>
      <c r="S80" s="5"/>
      <c r="T80" s="3"/>
      <c r="U80" s="3"/>
      <c r="V80" s="3"/>
      <c r="W80" s="3"/>
      <c r="X80" s="5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80" s="43"/>
    </row>
    <row r="81" spans="1:75" s="36" customFormat="1">
      <c r="A81" s="5"/>
      <c r="B81" s="5"/>
      <c r="C81" s="5"/>
      <c r="D81" s="39"/>
      <c r="E81" s="39"/>
      <c r="F81" s="39"/>
      <c r="G81" s="4"/>
      <c r="H81" s="5"/>
      <c r="I81" s="3"/>
      <c r="J81" s="5"/>
      <c r="K81" s="3"/>
      <c r="L81" s="3" t="str">
        <f>IFERROR(VLOOKUP(tblSOW9[[#This Row],[Employee name ]],[32]Parameters!CP:CS,4,0),"")</f>
        <v/>
      </c>
      <c r="M81" s="85"/>
      <c r="N81" s="5"/>
      <c r="O81" s="3"/>
      <c r="P81" s="8"/>
      <c r="Q81" s="8"/>
      <c r="R81" s="5"/>
      <c r="S81" s="5"/>
      <c r="T81" s="3"/>
      <c r="U81" s="3"/>
      <c r="V81" s="3"/>
      <c r="W81" s="3"/>
      <c r="X81" s="5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81" s="43"/>
    </row>
    <row r="82" spans="1:75" s="36" customFormat="1">
      <c r="A82" s="5"/>
      <c r="B82" s="5"/>
      <c r="C82" s="5"/>
      <c r="D82" s="39"/>
      <c r="E82" s="39"/>
      <c r="F82" s="39"/>
      <c r="G82" s="4"/>
      <c r="H82" s="5"/>
      <c r="I82" s="3"/>
      <c r="J82" s="5"/>
      <c r="K82" s="3"/>
      <c r="L82" s="3" t="str">
        <f>IFERROR(VLOOKUP(tblSOW9[[#This Row],[Employee name ]],[32]Parameters!CP:CS,4,0),"")</f>
        <v/>
      </c>
      <c r="M82" s="85"/>
      <c r="N82" s="5"/>
      <c r="O82" s="3"/>
      <c r="P82" s="8"/>
      <c r="Q82" s="8"/>
      <c r="R82" s="5"/>
      <c r="S82" s="5"/>
      <c r="T82" s="3"/>
      <c r="U82" s="3"/>
      <c r="V82" s="3"/>
      <c r="W82" s="3"/>
      <c r="X82" s="5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82" s="43"/>
    </row>
    <row r="83" spans="1:75" s="36" customFormat="1">
      <c r="A83" s="5"/>
      <c r="B83" s="5"/>
      <c r="C83" s="5"/>
      <c r="D83" s="39"/>
      <c r="E83" s="39"/>
      <c r="F83" s="39"/>
      <c r="G83" s="4"/>
      <c r="H83" s="5"/>
      <c r="I83" s="3"/>
      <c r="J83" s="5"/>
      <c r="K83" s="5"/>
      <c r="L83" s="3" t="str">
        <f>IFERROR(VLOOKUP(tblSOW9[[#This Row],[Employee name ]],[32]Parameters!CP:CS,4,0),"")</f>
        <v/>
      </c>
      <c r="M83" s="85"/>
      <c r="N83" s="5"/>
      <c r="O83" s="3"/>
      <c r="P83" s="8"/>
      <c r="Q83" s="8"/>
      <c r="R83" s="5"/>
      <c r="S83" s="5"/>
      <c r="T83" s="3"/>
      <c r="U83" s="3"/>
      <c r="V83" s="3"/>
      <c r="W83" s="3"/>
      <c r="X83" s="5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83" s="43"/>
    </row>
    <row r="84" spans="1:75" s="36" customFormat="1">
      <c r="A84" s="5"/>
      <c r="B84" s="5"/>
      <c r="C84" s="5"/>
      <c r="D84" s="39"/>
      <c r="E84" s="39"/>
      <c r="F84" s="39"/>
      <c r="G84" s="4"/>
      <c r="H84" s="5"/>
      <c r="I84" s="3"/>
      <c r="J84" s="5"/>
      <c r="K84" s="5"/>
      <c r="L84" s="3" t="str">
        <f>IFERROR(VLOOKUP(tblSOW9[[#This Row],[Employee name ]],[32]Parameters!CP:CS,4,0),"")</f>
        <v/>
      </c>
      <c r="M84" s="85"/>
      <c r="N84" s="5"/>
      <c r="O84" s="3"/>
      <c r="P84" s="8"/>
      <c r="Q84" s="8"/>
      <c r="R84" s="5"/>
      <c r="S84" s="5"/>
      <c r="T84" s="3"/>
      <c r="U84" s="3"/>
      <c r="V84" s="3"/>
      <c r="W84" s="3"/>
      <c r="X84" s="5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84" s="43"/>
    </row>
    <row r="85" spans="1:75" s="36" customFormat="1">
      <c r="A85" s="5"/>
      <c r="B85" s="5"/>
      <c r="C85" s="5"/>
      <c r="D85" s="39"/>
      <c r="E85" s="39"/>
      <c r="F85" s="39"/>
      <c r="G85" s="4"/>
      <c r="H85" s="5"/>
      <c r="I85" s="3"/>
      <c r="J85" s="3"/>
      <c r="K85" s="3"/>
      <c r="L85" s="3" t="str">
        <f>IFERROR(VLOOKUP(tblSOW9[[#This Row],[Employee name ]],[32]Parameters!CP:CS,4,0),"")</f>
        <v/>
      </c>
      <c r="M85"/>
      <c r="N85" s="5"/>
      <c r="O85" s="42"/>
      <c r="P85" s="8"/>
      <c r="Q85" s="8"/>
      <c r="R85" s="5"/>
      <c r="S85" s="5"/>
      <c r="T85" s="3"/>
      <c r="U85" s="3"/>
      <c r="V85" s="3"/>
      <c r="W85" s="3"/>
      <c r="X85" s="5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85" s="43"/>
    </row>
    <row r="86" spans="1:75" s="36" customFormat="1">
      <c r="A86" s="5"/>
      <c r="B86" s="5"/>
      <c r="C86" s="5"/>
      <c r="D86" s="39"/>
      <c r="E86" s="39"/>
      <c r="F86" s="39"/>
      <c r="G86" s="4"/>
      <c r="H86" s="5"/>
      <c r="I86" s="3"/>
      <c r="J86" s="3"/>
      <c r="K86" s="3"/>
      <c r="L86" s="3" t="str">
        <f>IFERROR(VLOOKUP(tblSOW9[[#This Row],[Employee name ]],[32]Parameters!CP:CS,4,0),"")</f>
        <v/>
      </c>
      <c r="M86"/>
      <c r="N86" s="5"/>
      <c r="O86" s="42"/>
      <c r="P86" s="8"/>
      <c r="Q86" s="8"/>
      <c r="R86" s="5"/>
      <c r="S86" s="5"/>
      <c r="T86" s="3"/>
      <c r="U86" s="3"/>
      <c r="V86" s="3"/>
      <c r="W86" s="3"/>
      <c r="X86" s="5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86" s="43"/>
    </row>
    <row r="87" spans="1:75" s="36" customFormat="1">
      <c r="A87" s="5"/>
      <c r="B87" s="5"/>
      <c r="C87" s="5"/>
      <c r="D87" s="39"/>
      <c r="E87" s="39"/>
      <c r="F87" s="39"/>
      <c r="G87" s="4"/>
      <c r="H87" s="5"/>
      <c r="I87" s="3"/>
      <c r="J87" s="3"/>
      <c r="K87" s="3"/>
      <c r="L87" s="3" t="str">
        <f>IFERROR(VLOOKUP(tblSOW9[[#This Row],[Employee name ]],[32]Parameters!CP:CS,4,0),"")</f>
        <v/>
      </c>
      <c r="M87" s="85"/>
      <c r="N87" s="5"/>
      <c r="O87" s="42"/>
      <c r="P87" s="8"/>
      <c r="Q87" s="8"/>
      <c r="R87" s="5"/>
      <c r="S87" s="5"/>
      <c r="T87" s="3"/>
      <c r="U87" s="3"/>
      <c r="V87" s="3"/>
      <c r="W87" s="3"/>
      <c r="X87" s="5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87" s="43"/>
    </row>
    <row r="88" spans="1:75" s="36" customFormat="1">
      <c r="A88" s="5"/>
      <c r="B88" s="5"/>
      <c r="C88" s="5"/>
      <c r="D88" s="39"/>
      <c r="E88" s="39"/>
      <c r="F88" s="39"/>
      <c r="G88" s="4"/>
      <c r="H88" s="5"/>
      <c r="I88" s="3"/>
      <c r="J88" s="3"/>
      <c r="K88" s="3"/>
      <c r="L88" s="3" t="str">
        <f>IFERROR(VLOOKUP(tblSOW9[[#This Row],[Employee name ]],[32]Parameters!CP:CS,4,0),"")</f>
        <v/>
      </c>
      <c r="M88" s="85"/>
      <c r="N88" s="5"/>
      <c r="O88" s="42"/>
      <c r="P88" s="8"/>
      <c r="Q88" s="8"/>
      <c r="R88" s="5"/>
      <c r="S88" s="5"/>
      <c r="T88" s="3"/>
      <c r="U88" s="3"/>
      <c r="V88" s="3"/>
      <c r="W88" s="3"/>
      <c r="X88" s="5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88" s="43"/>
    </row>
    <row r="89" spans="1:75" s="36" customFormat="1">
      <c r="A89" s="5"/>
      <c r="B89" s="5"/>
      <c r="C89" s="5"/>
      <c r="D89" s="39"/>
      <c r="E89" s="39"/>
      <c r="F89" s="39"/>
      <c r="G89" s="4"/>
      <c r="H89" s="5"/>
      <c r="I89" s="3"/>
      <c r="J89" s="3"/>
      <c r="K89" s="3"/>
      <c r="L89" s="3" t="str">
        <f>IFERROR(VLOOKUP(tblSOW9[[#This Row],[Employee name ]],[32]Parameters!CP:CS,4,0),"")</f>
        <v/>
      </c>
      <c r="M89" s="85"/>
      <c r="N89" s="5"/>
      <c r="O89" s="42"/>
      <c r="P89" s="8"/>
      <c r="Q89" s="8"/>
      <c r="R89" s="5"/>
      <c r="S89" s="5"/>
      <c r="T89" s="3"/>
      <c r="U89" s="3"/>
      <c r="V89" s="3"/>
      <c r="W89" s="3"/>
      <c r="X89" s="5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89" s="43"/>
    </row>
    <row r="90" spans="1:75" s="36" customFormat="1">
      <c r="A90" s="5"/>
      <c r="B90" s="5"/>
      <c r="C90" s="5"/>
      <c r="D90" s="39"/>
      <c r="E90" s="39"/>
      <c r="F90" s="39"/>
      <c r="G90" s="4"/>
      <c r="H90" s="5"/>
      <c r="I90" s="3"/>
      <c r="J90" s="3"/>
      <c r="K90" s="3"/>
      <c r="L90" s="3" t="str">
        <f>IFERROR(VLOOKUP(tblSOW9[[#This Row],[Employee name ]],[32]Parameters!CP:CS,4,0),"")</f>
        <v/>
      </c>
      <c r="M90" s="85"/>
      <c r="N90" s="5"/>
      <c r="O90" s="42"/>
      <c r="P90" s="8"/>
      <c r="Q90" s="8"/>
      <c r="R90" s="5"/>
      <c r="S90" s="5"/>
      <c r="T90" s="3"/>
      <c r="U90" s="3"/>
      <c r="V90" s="3"/>
      <c r="W90" s="3"/>
      <c r="X90" s="5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90" s="43"/>
    </row>
    <row r="91" spans="1:75" s="36" customFormat="1">
      <c r="A91" s="5"/>
      <c r="B91" s="5"/>
      <c r="C91" s="5"/>
      <c r="D91" s="39"/>
      <c r="E91" s="39"/>
      <c r="F91" s="39"/>
      <c r="G91" s="4"/>
      <c r="H91" s="5"/>
      <c r="I91" s="3"/>
      <c r="J91" s="3"/>
      <c r="K91" s="3"/>
      <c r="L91" s="3" t="str">
        <f>IFERROR(VLOOKUP(tblSOW9[[#This Row],[Employee name ]],[32]Parameters!CP:CS,4,0),"")</f>
        <v/>
      </c>
      <c r="M91" s="85"/>
      <c r="N91" s="5"/>
      <c r="O91" s="3"/>
      <c r="P91" s="8"/>
      <c r="Q91" s="8"/>
      <c r="R91" s="5"/>
      <c r="S91" s="5"/>
      <c r="T91" s="11"/>
      <c r="U91" s="3"/>
      <c r="V91" s="3"/>
      <c r="W91" s="3"/>
      <c r="X91" s="5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91" s="43"/>
    </row>
    <row r="92" spans="1:75" s="36" customFormat="1">
      <c r="A92" s="5"/>
      <c r="B92" s="5"/>
      <c r="C92" s="5"/>
      <c r="D92" s="39"/>
      <c r="E92" s="39"/>
      <c r="F92" s="39"/>
      <c r="G92" s="4"/>
      <c r="H92" s="5"/>
      <c r="I92" s="3"/>
      <c r="J92" s="3"/>
      <c r="K92" s="3"/>
      <c r="L92" s="3" t="str">
        <f>IFERROR(VLOOKUP(tblSOW9[[#This Row],[Employee name ]],[32]Parameters!CP:CS,4,0),"")</f>
        <v/>
      </c>
      <c r="M92" s="85"/>
      <c r="N92" s="5"/>
      <c r="O92" s="3"/>
      <c r="P92" s="8"/>
      <c r="Q92" s="8"/>
      <c r="R92" s="5"/>
      <c r="S92" s="5"/>
      <c r="T92" s="11"/>
      <c r="U92" s="3"/>
      <c r="V92" s="5"/>
      <c r="W92" s="5"/>
      <c r="X92" s="5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92" s="43"/>
    </row>
    <row r="93" spans="1:75" s="36" customFormat="1">
      <c r="A93" s="5"/>
      <c r="B93" s="5"/>
      <c r="C93" s="5"/>
      <c r="D93" s="39"/>
      <c r="E93" s="39"/>
      <c r="F93" s="39"/>
      <c r="G93" s="4"/>
      <c r="H93" s="5"/>
      <c r="I93" s="3"/>
      <c r="J93" s="3"/>
      <c r="K93" s="3"/>
      <c r="L93" s="3" t="str">
        <f>IFERROR(VLOOKUP(tblSOW9[[#This Row],[Employee name ]],[32]Parameters!CP:CS,4,0),"")</f>
        <v/>
      </c>
      <c r="M93" s="85"/>
      <c r="N93" s="5"/>
      <c r="O93" s="3"/>
      <c r="P93" s="8"/>
      <c r="Q93" s="8"/>
      <c r="R93" s="5"/>
      <c r="S93" s="5"/>
      <c r="T93" s="11"/>
      <c r="U93" s="3"/>
      <c r="V93" s="3"/>
      <c r="W93" s="3"/>
      <c r="X93" s="5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93" s="43"/>
    </row>
    <row r="94" spans="1:75" s="36" customFormat="1">
      <c r="A94" s="5"/>
      <c r="B94" s="5"/>
      <c r="C94" s="5"/>
      <c r="D94" s="39"/>
      <c r="E94" s="39"/>
      <c r="F94" s="39"/>
      <c r="G94" s="4"/>
      <c r="H94" s="5"/>
      <c r="I94" s="3"/>
      <c r="J94" s="3"/>
      <c r="K94" s="3"/>
      <c r="L94" s="3" t="str">
        <f>IFERROR(VLOOKUP(tblSOW9[[#This Row],[Employee name ]],[32]Parameters!CP:CS,4,0),"")</f>
        <v/>
      </c>
      <c r="M94" s="85"/>
      <c r="N94" s="5"/>
      <c r="O94" s="42"/>
      <c r="P94" s="8"/>
      <c r="Q94" s="8"/>
      <c r="R94" s="5"/>
      <c r="S94" s="5"/>
      <c r="T94" s="3"/>
      <c r="U94" s="3"/>
      <c r="V94" s="3"/>
      <c r="W94" s="3"/>
      <c r="X94" s="5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94" s="43"/>
    </row>
    <row r="95" spans="1:75" s="36" customFormat="1">
      <c r="A95" s="5"/>
      <c r="B95" s="5"/>
      <c r="C95" s="5"/>
      <c r="D95" s="39"/>
      <c r="E95" s="39"/>
      <c r="F95" s="39"/>
      <c r="G95" s="4"/>
      <c r="H95" s="5"/>
      <c r="I95" s="3"/>
      <c r="J95" s="3"/>
      <c r="K95" s="3"/>
      <c r="L95" s="3" t="str">
        <f>IFERROR(VLOOKUP(tblSOW9[[#This Row],[Employee name ]],[32]Parameters!CP:CS,4,0),"")</f>
        <v/>
      </c>
      <c r="M95" s="85"/>
      <c r="N95" s="5"/>
      <c r="O95" s="42"/>
      <c r="P95" s="8"/>
      <c r="Q95" s="8"/>
      <c r="R95" s="5"/>
      <c r="S95" s="5"/>
      <c r="T95" s="3"/>
      <c r="U95" s="3"/>
      <c r="V95" s="3"/>
      <c r="W95" s="3"/>
      <c r="X95" s="5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95" s="43"/>
    </row>
    <row r="96" spans="1:75" s="36" customFormat="1">
      <c r="A96" s="5"/>
      <c r="B96" s="5"/>
      <c r="C96" s="5"/>
      <c r="D96" s="39"/>
      <c r="E96" s="39"/>
      <c r="F96" s="39"/>
      <c r="G96" s="4"/>
      <c r="H96" s="132"/>
      <c r="I96" s="3"/>
      <c r="J96" s="3"/>
      <c r="K96" s="3"/>
      <c r="L96" s="3" t="str">
        <f>IFERROR(VLOOKUP(tblSOW9[[#This Row],[Employee name ]],[32]Parameters!CP:CS,4,0),"")</f>
        <v/>
      </c>
      <c r="M96" s="85"/>
      <c r="N96" s="5"/>
      <c r="O96" s="3"/>
      <c r="P96" s="8"/>
      <c r="Q96" s="8"/>
      <c r="R96" s="5"/>
      <c r="S96" s="5"/>
      <c r="T96" s="3"/>
      <c r="U96" s="3"/>
      <c r="V96" s="3"/>
      <c r="W96" s="3"/>
      <c r="X96" s="5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96" s="43"/>
    </row>
    <row r="97" spans="1:75" s="36" customFormat="1">
      <c r="A97" s="5"/>
      <c r="B97" s="5"/>
      <c r="C97" s="5"/>
      <c r="D97" s="39"/>
      <c r="E97" s="39"/>
      <c r="F97" s="39"/>
      <c r="G97" s="4"/>
      <c r="H97" s="5"/>
      <c r="I97" s="3"/>
      <c r="J97" s="3"/>
      <c r="K97" s="3"/>
      <c r="L97" s="3" t="str">
        <f>IFERROR(VLOOKUP(tblSOW9[[#This Row],[Employee name ]],[32]Parameters!CP:CS,4,0),"")</f>
        <v/>
      </c>
      <c r="M97" s="85"/>
      <c r="N97" s="5"/>
      <c r="O97" s="42"/>
      <c r="P97" s="8"/>
      <c r="Q97" s="8"/>
      <c r="R97" s="5"/>
      <c r="S97" s="5"/>
      <c r="T97" s="3"/>
      <c r="U97" s="3"/>
      <c r="V97" s="5"/>
      <c r="W97" s="5"/>
      <c r="X97" s="5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97" s="43"/>
    </row>
    <row r="98" spans="1:75" s="36" customFormat="1">
      <c r="A98" s="5"/>
      <c r="B98" s="5"/>
      <c r="C98" s="5"/>
      <c r="D98" s="39"/>
      <c r="E98" s="39"/>
      <c r="F98" s="39"/>
      <c r="G98" s="4"/>
      <c r="H98" s="132"/>
      <c r="I98" s="3"/>
      <c r="J98" s="3"/>
      <c r="K98" s="3"/>
      <c r="L98" s="3" t="str">
        <f>IFERROR(VLOOKUP(tblSOW9[[#This Row],[Employee name ]],[32]Parameters!CP:CS,4,0),"")</f>
        <v/>
      </c>
      <c r="M98" s="85"/>
      <c r="N98" s="5"/>
      <c r="O98" s="3"/>
      <c r="P98" s="8"/>
      <c r="Q98" s="8"/>
      <c r="R98" s="5"/>
      <c r="S98" s="5"/>
      <c r="T98" s="3"/>
      <c r="U98" s="3"/>
      <c r="V98" s="5"/>
      <c r="W98" s="5"/>
      <c r="X98" s="5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98" s="43"/>
    </row>
    <row r="99" spans="1:75" s="36" customFormat="1">
      <c r="A99" s="5"/>
      <c r="B99" s="5"/>
      <c r="C99" s="5"/>
      <c r="D99" s="39"/>
      <c r="E99" s="39"/>
      <c r="F99" s="39"/>
      <c r="G99" s="4"/>
      <c r="H99" s="132"/>
      <c r="I99" s="3"/>
      <c r="J99" s="3"/>
      <c r="K99" s="3"/>
      <c r="L99" s="3" t="str">
        <f>IFERROR(VLOOKUP(tblSOW9[[#This Row],[Employee name ]],[32]Parameters!CP:CS,4,0),"")</f>
        <v/>
      </c>
      <c r="M99" s="85"/>
      <c r="N99" s="5"/>
      <c r="O99" s="3"/>
      <c r="P99" s="8"/>
      <c r="Q99" s="8"/>
      <c r="R99" s="5"/>
      <c r="S99" s="5"/>
      <c r="T99" s="3"/>
      <c r="U99" s="3"/>
      <c r="V99" s="5"/>
      <c r="W99" s="5"/>
      <c r="X99" s="5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99" s="43"/>
    </row>
    <row r="100" spans="1:75" s="36" customFormat="1">
      <c r="A100" s="5"/>
      <c r="B100" s="5"/>
      <c r="C100" s="5"/>
      <c r="D100" s="39"/>
      <c r="E100" s="39"/>
      <c r="F100" s="39"/>
      <c r="G100" s="4"/>
      <c r="H100" s="132"/>
      <c r="I100" s="3"/>
      <c r="J100" s="3"/>
      <c r="K100" s="3"/>
      <c r="L100" s="3" t="str">
        <f>IFERROR(VLOOKUP(tblSOW9[[#This Row],[Employee name ]],[32]Parameters!CP:CS,4,0),"")</f>
        <v/>
      </c>
      <c r="M100" s="85"/>
      <c r="N100" s="5"/>
      <c r="O100" s="3"/>
      <c r="P100" s="8"/>
      <c r="Q100" s="8"/>
      <c r="R100" s="5"/>
      <c r="S100" s="5"/>
      <c r="T100" s="3"/>
      <c r="U100" s="3"/>
      <c r="V100" s="5"/>
      <c r="W100" s="5"/>
      <c r="X100" s="5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100" s="43"/>
    </row>
    <row r="101" spans="1:75" s="36" customFormat="1">
      <c r="A101" s="5"/>
      <c r="B101" s="5"/>
      <c r="C101" s="5"/>
      <c r="D101" s="39"/>
      <c r="E101" s="39"/>
      <c r="F101" s="39"/>
      <c r="G101" s="4"/>
      <c r="H101" s="132"/>
      <c r="I101" s="3"/>
      <c r="J101" s="3"/>
      <c r="K101" s="3"/>
      <c r="L101" s="3" t="str">
        <f>IFERROR(VLOOKUP(tblSOW9[[#This Row],[Employee name ]],[32]Parameters!CP:CS,4,0),"")</f>
        <v/>
      </c>
      <c r="M101" s="85"/>
      <c r="N101" s="5"/>
      <c r="O101" s="3"/>
      <c r="P101" s="8"/>
      <c r="Q101" s="8"/>
      <c r="R101" s="5"/>
      <c r="S101" s="5"/>
      <c r="T101" s="3"/>
      <c r="U101" s="3"/>
      <c r="V101" s="5"/>
      <c r="W101" s="5"/>
      <c r="X101" s="5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101" s="43"/>
    </row>
    <row r="102" spans="1:75" s="36" customFormat="1">
      <c r="A102" s="5"/>
      <c r="B102" s="5"/>
      <c r="C102" s="5"/>
      <c r="D102" s="39"/>
      <c r="E102" s="39"/>
      <c r="F102" s="39"/>
      <c r="G102" s="4"/>
      <c r="H102" s="132"/>
      <c r="I102" s="3"/>
      <c r="J102" s="3"/>
      <c r="K102" s="3"/>
      <c r="L102" s="3" t="str">
        <f>IFERROR(VLOOKUP(tblSOW9[[#This Row],[Employee name ]],[32]Parameters!CP:CS,4,0),"")</f>
        <v/>
      </c>
      <c r="M102" s="85"/>
      <c r="N102" s="5"/>
      <c r="O102" s="3"/>
      <c r="P102" s="8"/>
      <c r="Q102" s="8"/>
      <c r="R102" s="5"/>
      <c r="S102" s="5"/>
      <c r="T102" s="3"/>
      <c r="U102" s="3"/>
      <c r="V102" s="5"/>
      <c r="W102" s="5"/>
      <c r="X102" s="5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102" s="43"/>
    </row>
    <row r="103" spans="1:75" s="36" customFormat="1">
      <c r="A103" s="5"/>
      <c r="B103" s="5"/>
      <c r="C103" s="5"/>
      <c r="D103" s="39"/>
      <c r="E103" s="39"/>
      <c r="F103" s="39"/>
      <c r="G103" s="4"/>
      <c r="H103" s="132"/>
      <c r="I103" s="3"/>
      <c r="J103" s="3"/>
      <c r="K103" s="3"/>
      <c r="L103" s="3" t="str">
        <f>IFERROR(VLOOKUP(tblSOW9[[#This Row],[Employee name ]],[32]Parameters!CP:CS,4,0),"")</f>
        <v/>
      </c>
      <c r="M103" s="85"/>
      <c r="N103" s="5"/>
      <c r="O103" s="3"/>
      <c r="P103" s="8"/>
      <c r="Q103" s="8"/>
      <c r="R103" s="5"/>
      <c r="S103" s="5"/>
      <c r="T103" s="3"/>
      <c r="U103" s="3"/>
      <c r="V103" s="5"/>
      <c r="W103" s="5"/>
      <c r="X103" s="5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103" s="43"/>
    </row>
    <row r="104" spans="1:75" s="36" customFormat="1">
      <c r="A104" s="5"/>
      <c r="B104" s="5"/>
      <c r="C104" s="5"/>
      <c r="D104" s="39"/>
      <c r="E104" s="39"/>
      <c r="F104" s="39"/>
      <c r="G104" s="4"/>
      <c r="H104" s="132"/>
      <c r="I104" s="3"/>
      <c r="J104" s="3"/>
      <c r="K104" s="3"/>
      <c r="L104" s="3" t="str">
        <f>IFERROR(VLOOKUP(tblSOW9[[#This Row],[Employee name ]],[32]Parameters!CP:CS,4,0),"")</f>
        <v/>
      </c>
      <c r="M104" s="85"/>
      <c r="N104" s="5"/>
      <c r="O104" s="3"/>
      <c r="P104" s="8"/>
      <c r="Q104" s="8"/>
      <c r="R104" s="5"/>
      <c r="S104" s="5"/>
      <c r="T104" s="3"/>
      <c r="U104" s="3"/>
      <c r="V104" s="5"/>
      <c r="W104" s="5"/>
      <c r="X104" s="5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104" s="43"/>
    </row>
    <row r="105" spans="1:75" s="36" customFormat="1">
      <c r="A105" s="5"/>
      <c r="B105" s="5"/>
      <c r="C105" s="5"/>
      <c r="D105" s="39"/>
      <c r="E105" s="39"/>
      <c r="F105" s="39"/>
      <c r="G105" s="4"/>
      <c r="H105" s="132"/>
      <c r="I105" s="3"/>
      <c r="J105" s="3"/>
      <c r="K105" s="3"/>
      <c r="L105" s="3" t="str">
        <f>IFERROR(VLOOKUP(tblSOW9[[#This Row],[Employee name ]],[32]Parameters!CP:CS,4,0),"")</f>
        <v/>
      </c>
      <c r="M105" s="85"/>
      <c r="N105" s="5"/>
      <c r="O105" s="3"/>
      <c r="P105" s="8"/>
      <c r="Q105" s="8"/>
      <c r="R105" s="5"/>
      <c r="S105" s="5"/>
      <c r="T105" s="3"/>
      <c r="U105" s="3"/>
      <c r="V105" s="5"/>
      <c r="W105" s="5"/>
      <c r="X105" s="5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105" s="43"/>
    </row>
    <row r="106" spans="1:75" s="36" customFormat="1">
      <c r="A106" s="5"/>
      <c r="B106" s="5"/>
      <c r="C106" s="5"/>
      <c r="D106" s="39"/>
      <c r="E106" s="39"/>
      <c r="F106" s="39"/>
      <c r="G106" s="4"/>
      <c r="H106" s="132"/>
      <c r="I106" s="3"/>
      <c r="J106" s="3"/>
      <c r="K106" s="3"/>
      <c r="L106" s="3" t="str">
        <f>IFERROR(VLOOKUP(tblSOW9[[#This Row],[Employee name ]],[32]Parameters!CP:CS,4,0),"")</f>
        <v/>
      </c>
      <c r="M106" s="85"/>
      <c r="N106" s="5"/>
      <c r="O106" s="3"/>
      <c r="P106" s="8"/>
      <c r="Q106" s="8"/>
      <c r="R106" s="5"/>
      <c r="S106" s="5"/>
      <c r="T106" s="3"/>
      <c r="U106" s="3"/>
      <c r="V106" s="5"/>
      <c r="W106" s="5"/>
      <c r="X106" s="5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106" s="43"/>
    </row>
    <row r="107" spans="1:75" s="36" customFormat="1">
      <c r="A107" s="5"/>
      <c r="B107" s="5"/>
      <c r="C107" s="5"/>
      <c r="D107" s="39"/>
      <c r="E107" s="39"/>
      <c r="F107" s="39"/>
      <c r="G107" s="4"/>
      <c r="H107" s="132"/>
      <c r="I107" s="3"/>
      <c r="J107" s="3"/>
      <c r="K107" s="3"/>
      <c r="L107" s="3" t="str">
        <f>IFERROR(VLOOKUP(tblSOW9[[#This Row],[Employee name ]],[32]Parameters!CP:CS,4,0),"")</f>
        <v/>
      </c>
      <c r="M107" s="85"/>
      <c r="N107" s="5"/>
      <c r="O107" s="3"/>
      <c r="P107" s="8"/>
      <c r="Q107" s="8"/>
      <c r="R107" s="5"/>
      <c r="S107" s="5"/>
      <c r="T107" s="3"/>
      <c r="U107" s="3"/>
      <c r="V107" s="5"/>
      <c r="W107" s="5"/>
      <c r="X107" s="5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107" s="43"/>
    </row>
    <row r="108" spans="1:75" s="36" customFormat="1">
      <c r="A108" s="5"/>
      <c r="B108" s="5"/>
      <c r="C108" s="5"/>
      <c r="D108" s="39"/>
      <c r="E108" s="39"/>
      <c r="F108" s="39"/>
      <c r="G108" s="4"/>
      <c r="H108" s="132"/>
      <c r="I108" s="3"/>
      <c r="J108" s="3"/>
      <c r="K108" s="3"/>
      <c r="L108" s="3" t="str">
        <f>IFERROR(VLOOKUP(tblSOW9[[#This Row],[Employee name ]],[32]Parameters!CP:CS,4,0),"")</f>
        <v/>
      </c>
      <c r="M108" s="85"/>
      <c r="N108" s="5"/>
      <c r="O108" s="3"/>
      <c r="P108" s="8"/>
      <c r="Q108" s="8"/>
      <c r="R108" s="5"/>
      <c r="S108" s="5"/>
      <c r="T108" s="3"/>
      <c r="U108" s="3"/>
      <c r="V108" s="5"/>
      <c r="W108" s="5"/>
      <c r="X108" s="5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108" s="43"/>
    </row>
    <row r="109" spans="1:75" s="36" customFormat="1">
      <c r="A109" s="5"/>
      <c r="B109" s="5"/>
      <c r="C109" s="5"/>
      <c r="D109" s="39"/>
      <c r="E109" s="39"/>
      <c r="F109" s="39"/>
      <c r="G109" s="5"/>
      <c r="H109" s="132"/>
      <c r="I109" s="3"/>
      <c r="J109" s="3"/>
      <c r="K109" s="3"/>
      <c r="L109" s="3" t="str">
        <f>IFERROR(VLOOKUP(tblSOW9[[#This Row],[Employee name ]],[32]Parameters!CP:CS,4,0),"")</f>
        <v/>
      </c>
      <c r="M109" s="85"/>
      <c r="N109" s="5"/>
      <c r="O109" s="3"/>
      <c r="P109" s="8"/>
      <c r="Q109" s="8"/>
      <c r="R109" s="5"/>
      <c r="S109" s="5"/>
      <c r="T109" s="3"/>
      <c r="U109" s="3"/>
      <c r="V109" s="3"/>
      <c r="W109" s="3"/>
      <c r="X109" s="5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109" s="43"/>
    </row>
    <row r="110" spans="1:75" s="36" customFormat="1">
      <c r="A110" s="5"/>
      <c r="B110" s="5"/>
      <c r="C110" s="5"/>
      <c r="D110" s="39"/>
      <c r="E110" s="39"/>
      <c r="F110" s="39"/>
      <c r="G110" s="5"/>
      <c r="H110" s="132"/>
      <c r="I110" s="3"/>
      <c r="J110" s="3"/>
      <c r="K110" s="3"/>
      <c r="L110" s="3" t="str">
        <f>IFERROR(VLOOKUP(tblSOW9[[#This Row],[Employee name ]],[32]Parameters!CP:CS,4,0),"")</f>
        <v/>
      </c>
      <c r="M110" s="85"/>
      <c r="N110" s="5"/>
      <c r="O110" s="3"/>
      <c r="P110" s="8"/>
      <c r="Q110" s="8"/>
      <c r="R110" s="5"/>
      <c r="S110" s="5"/>
      <c r="T110" s="3"/>
      <c r="U110" s="3"/>
      <c r="V110" s="3"/>
      <c r="W110" s="3"/>
      <c r="X110" s="5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110" s="43"/>
    </row>
    <row r="111" spans="1:75" s="36" customFormat="1">
      <c r="A111" s="5"/>
      <c r="B111" s="5"/>
      <c r="C111" s="5"/>
      <c r="D111" s="39"/>
      <c r="E111" s="39"/>
      <c r="F111" s="39"/>
      <c r="G111" s="5"/>
      <c r="H111" s="132"/>
      <c r="I111" s="3"/>
      <c r="J111" s="3"/>
      <c r="K111" s="3"/>
      <c r="L111" s="3" t="str">
        <f>IFERROR(VLOOKUP(tblSOW9[[#This Row],[Employee name ]],[32]Parameters!CP:CS,4,0),"")</f>
        <v/>
      </c>
      <c r="M111" s="85"/>
      <c r="N111" s="5"/>
      <c r="O111" s="3"/>
      <c r="P111" s="8"/>
      <c r="Q111" s="8"/>
      <c r="R111" s="5"/>
      <c r="S111" s="5"/>
      <c r="T111" s="3"/>
      <c r="U111" s="3"/>
      <c r="V111" s="3"/>
      <c r="W111" s="3"/>
      <c r="X111" s="5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111" s="43"/>
    </row>
    <row r="112" spans="1:75" s="36" customFormat="1">
      <c r="A112" s="5"/>
      <c r="B112" s="5"/>
      <c r="C112" s="5"/>
      <c r="D112" s="39"/>
      <c r="E112" s="39"/>
      <c r="F112" s="39"/>
      <c r="G112" s="5"/>
      <c r="H112" s="132"/>
      <c r="I112" s="3"/>
      <c r="J112" s="3"/>
      <c r="K112" s="3"/>
      <c r="L112" s="3" t="str">
        <f>IFERROR(VLOOKUP(tblSOW9[[#This Row],[Employee name ]],[32]Parameters!CP:CS,4,0),"")</f>
        <v/>
      </c>
      <c r="M112" s="85"/>
      <c r="N112" s="5"/>
      <c r="O112" s="3"/>
      <c r="P112" s="8"/>
      <c r="Q112" s="8"/>
      <c r="R112" s="5"/>
      <c r="S112" s="5"/>
      <c r="T112" s="3"/>
      <c r="U112" s="3"/>
      <c r="V112" s="5"/>
      <c r="W112" s="5"/>
      <c r="X112" s="5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112" s="43"/>
    </row>
    <row r="113" spans="1:75" s="36" customFormat="1">
      <c r="A113" s="5"/>
      <c r="B113" s="5"/>
      <c r="C113" s="5"/>
      <c r="D113" s="39"/>
      <c r="E113" s="39"/>
      <c r="F113" s="39"/>
      <c r="G113" s="5"/>
      <c r="H113" s="132"/>
      <c r="I113" s="3"/>
      <c r="J113" s="3"/>
      <c r="K113" s="3"/>
      <c r="L113" s="3" t="str">
        <f>IFERROR(VLOOKUP(tblSOW9[[#This Row],[Employee name ]],[32]Parameters!CP:CS,4,0),"")</f>
        <v/>
      </c>
      <c r="M113" s="85"/>
      <c r="N113" s="5"/>
      <c r="O113" s="3"/>
      <c r="P113" s="8"/>
      <c r="Q113" s="8"/>
      <c r="R113" s="5"/>
      <c r="S113" s="5"/>
      <c r="T113" s="3"/>
      <c r="U113" s="3"/>
      <c r="V113" s="5"/>
      <c r="W113" s="5"/>
      <c r="X113" s="5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113" s="43"/>
    </row>
    <row r="114" spans="1:75" s="36" customFormat="1">
      <c r="A114" s="5"/>
      <c r="B114" s="5"/>
      <c r="C114" s="5"/>
      <c r="D114" s="39"/>
      <c r="E114" s="39"/>
      <c r="F114" s="39"/>
      <c r="G114" s="5"/>
      <c r="H114" s="132"/>
      <c r="I114" s="3"/>
      <c r="J114" s="3"/>
      <c r="K114" s="3"/>
      <c r="L114" s="3" t="str">
        <f>IFERROR(VLOOKUP(tblSOW9[[#This Row],[Employee name ]],[32]Parameters!CP:CS,4,0),"")</f>
        <v/>
      </c>
      <c r="M114" s="85"/>
      <c r="N114" s="5"/>
      <c r="O114" s="3"/>
      <c r="P114" s="8"/>
      <c r="Q114" s="8"/>
      <c r="R114" s="5"/>
      <c r="S114" s="5"/>
      <c r="T114" s="3"/>
      <c r="U114" s="3"/>
      <c r="V114" s="5"/>
      <c r="W114" s="5"/>
      <c r="X114" s="5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114" s="43"/>
    </row>
    <row r="115" spans="1:75" s="36" customFormat="1">
      <c r="A115" s="5"/>
      <c r="B115" s="5"/>
      <c r="C115" s="5"/>
      <c r="D115" s="39"/>
      <c r="E115" s="39"/>
      <c r="F115" s="39"/>
      <c r="G115" s="5"/>
      <c r="H115" s="132"/>
      <c r="I115" s="3"/>
      <c r="J115" s="3"/>
      <c r="K115" s="3"/>
      <c r="L115" s="3" t="str">
        <f>IFERROR(VLOOKUP(tblSOW9[[#This Row],[Employee name ]],[32]Parameters!CP:CS,4,0),"")</f>
        <v/>
      </c>
      <c r="M115" s="85"/>
      <c r="N115" s="5"/>
      <c r="O115" s="3"/>
      <c r="P115" s="8"/>
      <c r="Q115" s="8"/>
      <c r="R115" s="5"/>
      <c r="S115" s="5"/>
      <c r="T115" s="3"/>
      <c r="U115" s="3"/>
      <c r="V115" s="5"/>
      <c r="W115" s="5"/>
      <c r="X115" s="5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115" s="43"/>
    </row>
    <row r="116" spans="1:75" s="36" customFormat="1">
      <c r="A116" s="5"/>
      <c r="B116" s="5"/>
      <c r="C116" s="5"/>
      <c r="D116" s="39"/>
      <c r="E116" s="39"/>
      <c r="F116" s="39"/>
      <c r="G116" s="5"/>
      <c r="H116" s="132"/>
      <c r="I116" s="3"/>
      <c r="J116" s="3"/>
      <c r="K116" s="3"/>
      <c r="L116" s="3" t="str">
        <f>IFERROR(VLOOKUP(tblSOW9[[#This Row],[Employee name ]],[32]Parameters!CP:CS,4,0),"")</f>
        <v/>
      </c>
      <c r="M116" s="85"/>
      <c r="N116" s="5"/>
      <c r="O116" s="3"/>
      <c r="P116" s="8"/>
      <c r="Q116" s="8"/>
      <c r="R116" s="5"/>
      <c r="S116" s="5"/>
      <c r="T116" s="3"/>
      <c r="U116" s="3"/>
      <c r="V116" s="5"/>
      <c r="W116" s="5"/>
      <c r="X116" s="5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116" s="43"/>
    </row>
    <row r="117" spans="1:75" s="36" customFormat="1">
      <c r="A117" s="5"/>
      <c r="B117" s="5"/>
      <c r="C117" s="5"/>
      <c r="D117" s="39"/>
      <c r="E117" s="39"/>
      <c r="F117" s="39"/>
      <c r="G117" s="5"/>
      <c r="H117" s="132"/>
      <c r="I117" s="3"/>
      <c r="J117" s="3"/>
      <c r="K117" s="3"/>
      <c r="L117" s="3" t="str">
        <f>IFERROR(VLOOKUP(tblSOW9[[#This Row],[Employee name ]],[32]Parameters!CP:CS,4,0),"")</f>
        <v/>
      </c>
      <c r="M117" s="85"/>
      <c r="N117" s="5"/>
      <c r="O117" s="3"/>
      <c r="P117" s="8"/>
      <c r="Q117" s="8"/>
      <c r="R117" s="5"/>
      <c r="S117" s="5"/>
      <c r="T117" s="3"/>
      <c r="U117" s="3"/>
      <c r="V117" s="5"/>
      <c r="W117" s="5"/>
      <c r="X117" s="5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117" s="43"/>
    </row>
    <row r="118" spans="1:75" s="36" customFormat="1">
      <c r="A118" s="5"/>
      <c r="B118" s="5"/>
      <c r="C118" s="5"/>
      <c r="D118" s="39"/>
      <c r="E118" s="39"/>
      <c r="F118" s="39"/>
      <c r="G118" s="5"/>
      <c r="H118" s="132"/>
      <c r="I118" s="3"/>
      <c r="J118" s="3"/>
      <c r="K118" s="3"/>
      <c r="L118" s="3" t="str">
        <f>IFERROR(VLOOKUP(tblSOW9[[#This Row],[Employee name ]],[32]Parameters!CP:CS,4,0),"")</f>
        <v/>
      </c>
      <c r="M118" s="85"/>
      <c r="N118" s="5"/>
      <c r="O118" s="3"/>
      <c r="P118" s="8"/>
      <c r="Q118" s="8"/>
      <c r="R118" s="5"/>
      <c r="S118" s="5"/>
      <c r="T118" s="3"/>
      <c r="U118" s="3"/>
      <c r="V118" s="47"/>
      <c r="W118" s="47"/>
      <c r="X118" s="5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118" s="43"/>
    </row>
    <row r="119" spans="1:75" s="36" customFormat="1">
      <c r="A119" s="5"/>
      <c r="B119" s="5"/>
      <c r="C119" s="5"/>
      <c r="D119" s="39"/>
      <c r="E119" s="39"/>
      <c r="F119" s="39"/>
      <c r="G119" s="5"/>
      <c r="H119" s="132"/>
      <c r="I119" s="3"/>
      <c r="J119" s="3"/>
      <c r="K119" s="3"/>
      <c r="L119" s="3" t="str">
        <f>IFERROR(VLOOKUP(tblSOW9[[#This Row],[Employee name ]],[32]Parameters!CP:CS,4,0),"")</f>
        <v/>
      </c>
      <c r="M119" s="85"/>
      <c r="N119" s="5"/>
      <c r="O119" s="3"/>
      <c r="P119" s="8"/>
      <c r="Q119" s="8"/>
      <c r="R119" s="5"/>
      <c r="S119" s="5"/>
      <c r="T119" s="3"/>
      <c r="U119" s="3"/>
      <c r="V119" s="47"/>
      <c r="W119" s="47"/>
      <c r="X119" s="5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119" s="43"/>
    </row>
    <row r="120" spans="1:75" s="36" customFormat="1">
      <c r="A120" s="5"/>
      <c r="B120" s="5"/>
      <c r="C120" s="5"/>
      <c r="D120" s="39"/>
      <c r="E120" s="39"/>
      <c r="F120" s="39"/>
      <c r="G120" s="5"/>
      <c r="H120" s="132"/>
      <c r="I120" s="3"/>
      <c r="J120" s="3"/>
      <c r="K120" s="3"/>
      <c r="L120" s="3" t="str">
        <f>IFERROR(VLOOKUP(tblSOW9[[#This Row],[Employee name ]],[32]Parameters!CP:CS,4,0),"")</f>
        <v/>
      </c>
      <c r="M120" s="85"/>
      <c r="N120" s="5"/>
      <c r="O120" s="3"/>
      <c r="P120" s="8"/>
      <c r="Q120" s="8"/>
      <c r="R120" s="5"/>
      <c r="S120" s="5"/>
      <c r="T120" s="3"/>
      <c r="U120" s="3"/>
      <c r="V120" s="47"/>
      <c r="W120" s="47"/>
      <c r="X120" s="5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120" s="43"/>
    </row>
    <row r="121" spans="1:75" s="36" customFormat="1">
      <c r="A121" s="5"/>
      <c r="B121" s="5"/>
      <c r="C121" s="5"/>
      <c r="D121" s="39"/>
      <c r="E121" s="39"/>
      <c r="F121" s="39"/>
      <c r="G121" s="5"/>
      <c r="H121" s="132"/>
      <c r="I121" s="3"/>
      <c r="J121" s="3"/>
      <c r="K121" s="3"/>
      <c r="L121" s="3" t="str">
        <f>IFERROR(VLOOKUP(tblSOW9[[#This Row],[Employee name ]],[32]Parameters!CP:CS,4,0),"")</f>
        <v/>
      </c>
      <c r="M121" s="4"/>
      <c r="N121" s="5"/>
      <c r="O121" s="3"/>
      <c r="P121" s="8"/>
      <c r="Q121" s="8"/>
      <c r="R121" s="5"/>
      <c r="S121" s="5"/>
      <c r="T121" s="3"/>
      <c r="U121" s="3"/>
      <c r="V121" s="41"/>
      <c r="W121" s="41"/>
      <c r="X121" s="5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121" s="43"/>
    </row>
    <row r="122" spans="1:75" s="36" customFormat="1">
      <c r="A122" s="5"/>
      <c r="B122" s="5"/>
      <c r="C122" s="5"/>
      <c r="D122" s="39"/>
      <c r="E122" s="39"/>
      <c r="F122" s="39"/>
      <c r="G122" s="5"/>
      <c r="H122" s="132"/>
      <c r="I122" s="3"/>
      <c r="J122" s="3"/>
      <c r="K122" s="3"/>
      <c r="L122" s="3" t="str">
        <f>IFERROR(VLOOKUP(tblSOW9[[#This Row],[Employee name ]],[32]Parameters!CP:CS,4,0),"")</f>
        <v/>
      </c>
      <c r="M122" s="4"/>
      <c r="N122" s="5"/>
      <c r="O122" s="3"/>
      <c r="P122" s="8"/>
      <c r="Q122" s="8"/>
      <c r="R122" s="5"/>
      <c r="S122" s="5"/>
      <c r="T122" s="3"/>
      <c r="U122" s="3"/>
      <c r="V122" s="41"/>
      <c r="W122" s="41"/>
      <c r="X122" s="5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122" s="43"/>
    </row>
    <row r="123" spans="1:75" s="36" customFormat="1">
      <c r="A123" s="5"/>
      <c r="B123" s="5"/>
      <c r="C123" s="5"/>
      <c r="D123" s="39"/>
      <c r="E123" s="39"/>
      <c r="F123" s="39"/>
      <c r="G123" s="5"/>
      <c r="H123" s="132"/>
      <c r="I123" s="3"/>
      <c r="J123" s="3"/>
      <c r="K123" s="3"/>
      <c r="L123" s="3" t="str">
        <f>IFERROR(VLOOKUP(tblSOW9[[#This Row],[Employee name ]],[32]Parameters!CP:CS,4,0),"")</f>
        <v/>
      </c>
      <c r="M123" s="4"/>
      <c r="N123" s="5"/>
      <c r="O123" s="3"/>
      <c r="P123" s="8"/>
      <c r="Q123" s="8"/>
      <c r="R123" s="5"/>
      <c r="S123" s="5"/>
      <c r="T123" s="3"/>
      <c r="U123" s="3"/>
      <c r="V123" s="41"/>
      <c r="W123" s="41"/>
      <c r="X123" s="5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123" s="43"/>
    </row>
    <row r="124" spans="1:75" s="36" customFormat="1">
      <c r="A124" s="5"/>
      <c r="B124" s="5"/>
      <c r="C124" s="5"/>
      <c r="D124" s="39"/>
      <c r="E124" s="39"/>
      <c r="F124" s="39"/>
      <c r="G124" s="5"/>
      <c r="H124" s="132"/>
      <c r="I124" s="3"/>
      <c r="J124" s="3"/>
      <c r="K124" s="3"/>
      <c r="L124" s="3" t="str">
        <f>IFERROR(VLOOKUP(tblSOW9[[#This Row],[Employee name ]],[32]Parameters!CP:CS,4,0),"")</f>
        <v/>
      </c>
      <c r="M124" s="4"/>
      <c r="N124" s="5"/>
      <c r="O124" s="3"/>
      <c r="P124" s="8"/>
      <c r="Q124" s="8"/>
      <c r="R124" s="5"/>
      <c r="S124" s="5"/>
      <c r="T124" s="3"/>
      <c r="U124" s="3"/>
      <c r="V124" s="41"/>
      <c r="W124" s="41"/>
      <c r="X124" s="5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124" s="43"/>
    </row>
    <row r="125" spans="1:75" s="36" customFormat="1">
      <c r="A125" s="5"/>
      <c r="B125" s="5"/>
      <c r="C125" s="5"/>
      <c r="D125" s="39"/>
      <c r="E125" s="39"/>
      <c r="F125" s="39"/>
      <c r="G125" s="5"/>
      <c r="H125" s="132"/>
      <c r="I125" s="3"/>
      <c r="J125" s="3"/>
      <c r="K125" s="3"/>
      <c r="L125" s="3" t="str">
        <f>IFERROR(VLOOKUP(tblSOW9[[#This Row],[Employee name ]],[32]Parameters!CP:CS,4,0),"")</f>
        <v/>
      </c>
      <c r="M125" s="85"/>
      <c r="N125" s="5"/>
      <c r="O125" s="3"/>
      <c r="P125" s="8"/>
      <c r="Q125" s="8"/>
      <c r="R125" s="5"/>
      <c r="S125" s="5"/>
      <c r="T125" s="3"/>
      <c r="U125" s="3"/>
      <c r="V125" s="3"/>
      <c r="W125" s="3"/>
      <c r="X125" s="5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125" s="43"/>
    </row>
    <row r="126" spans="1:75" s="36" customFormat="1">
      <c r="A126" s="5"/>
      <c r="B126" s="5"/>
      <c r="C126" s="5"/>
      <c r="D126" s="39"/>
      <c r="E126" s="39"/>
      <c r="F126" s="39"/>
      <c r="G126" s="5"/>
      <c r="H126" s="132"/>
      <c r="I126" s="3"/>
      <c r="J126" s="3"/>
      <c r="K126" s="3"/>
      <c r="L126" s="3" t="str">
        <f>IFERROR(VLOOKUP(tblSOW9[[#This Row],[Employee name ]],[32]Parameters!CP:CS,4,0),"")</f>
        <v/>
      </c>
      <c r="M126" s="85"/>
      <c r="N126" s="5"/>
      <c r="O126" s="3"/>
      <c r="P126" s="8"/>
      <c r="Q126" s="8"/>
      <c r="R126" s="5"/>
      <c r="S126" s="5"/>
      <c r="T126" s="3"/>
      <c r="U126" s="3"/>
      <c r="V126" s="41"/>
      <c r="W126" s="41"/>
      <c r="X126" s="5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126" s="43"/>
    </row>
    <row r="127" spans="1:75" s="36" customFormat="1">
      <c r="A127" s="5"/>
      <c r="B127" s="5"/>
      <c r="C127" s="5"/>
      <c r="D127" s="39"/>
      <c r="E127" s="39"/>
      <c r="F127" s="39"/>
      <c r="G127" s="5"/>
      <c r="H127" s="132"/>
      <c r="I127" s="3"/>
      <c r="J127" s="3"/>
      <c r="K127" s="3"/>
      <c r="L127" s="3" t="str">
        <f>IFERROR(VLOOKUP(tblSOW9[[#This Row],[Employee name ]],[32]Parameters!CP:CS,4,0),"")</f>
        <v/>
      </c>
      <c r="M127" s="85"/>
      <c r="N127" s="5"/>
      <c r="O127" s="3"/>
      <c r="P127" s="8"/>
      <c r="Q127" s="8"/>
      <c r="R127" s="5"/>
      <c r="S127" s="5"/>
      <c r="T127" s="3"/>
      <c r="U127" s="3"/>
      <c r="V127" s="41"/>
      <c r="W127" s="41"/>
      <c r="X127" s="5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127" s="43"/>
    </row>
    <row r="128" spans="1:75" s="36" customFormat="1">
      <c r="A128" s="5"/>
      <c r="B128" s="5"/>
      <c r="C128" s="5"/>
      <c r="D128" s="39"/>
      <c r="E128" s="39"/>
      <c r="F128" s="39"/>
      <c r="G128" s="5"/>
      <c r="H128" s="132"/>
      <c r="I128" s="3"/>
      <c r="J128" s="3"/>
      <c r="K128" s="3"/>
      <c r="L128" s="3" t="str">
        <f>IFERROR(VLOOKUP(tblSOW9[[#This Row],[Employee name ]],[32]Parameters!CP:CS,4,0),"")</f>
        <v/>
      </c>
      <c r="M128" s="85"/>
      <c r="N128" s="5"/>
      <c r="O128" s="3"/>
      <c r="P128" s="8"/>
      <c r="Q128" s="8"/>
      <c r="R128" s="5"/>
      <c r="S128" s="5"/>
      <c r="T128" s="3"/>
      <c r="U128" s="3"/>
      <c r="V128" s="3"/>
      <c r="W128" s="3"/>
      <c r="X128" s="5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128" s="43"/>
    </row>
    <row r="129" spans="1:75" s="36" customFormat="1">
      <c r="A129" s="5"/>
      <c r="B129" s="5"/>
      <c r="C129" s="5"/>
      <c r="D129" s="39"/>
      <c r="E129" s="39"/>
      <c r="F129" s="39"/>
      <c r="G129" s="5"/>
      <c r="H129" s="132"/>
      <c r="I129" s="3"/>
      <c r="J129" s="3"/>
      <c r="K129" s="3"/>
      <c r="L129" s="3" t="str">
        <f>IFERROR(VLOOKUP(tblSOW9[[#This Row],[Employee name ]],[32]Parameters!CP:CS,4,0),"")</f>
        <v/>
      </c>
      <c r="M129" s="85"/>
      <c r="N129" s="5"/>
      <c r="O129" s="3"/>
      <c r="P129" s="8"/>
      <c r="Q129" s="8"/>
      <c r="R129" s="5"/>
      <c r="S129" s="5"/>
      <c r="T129" s="3"/>
      <c r="U129" s="3"/>
      <c r="V129" s="3"/>
      <c r="W129" s="3"/>
      <c r="X129" s="5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129" s="43"/>
    </row>
    <row r="130" spans="1:75" s="36" customFormat="1">
      <c r="A130" s="5"/>
      <c r="B130" s="5"/>
      <c r="C130" s="5"/>
      <c r="D130" s="39"/>
      <c r="E130" s="39"/>
      <c r="F130" s="39"/>
      <c r="G130" s="5"/>
      <c r="H130" s="132"/>
      <c r="I130" s="3"/>
      <c r="J130" s="3"/>
      <c r="K130" s="3"/>
      <c r="L130" s="3" t="str">
        <f>IFERROR(VLOOKUP(tblSOW9[[#This Row],[Employee name ]],[32]Parameters!CP:CS,4,0),"")</f>
        <v/>
      </c>
      <c r="M130" s="85"/>
      <c r="N130" s="5"/>
      <c r="O130" s="3"/>
      <c r="P130" s="8"/>
      <c r="Q130" s="8"/>
      <c r="R130" s="5"/>
      <c r="S130" s="5"/>
      <c r="T130" s="3"/>
      <c r="U130" s="3"/>
      <c r="V130" s="3"/>
      <c r="W130" s="3"/>
      <c r="X130" s="5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130" s="43"/>
    </row>
    <row r="131" spans="1:75" s="36" customFormat="1">
      <c r="A131" s="5"/>
      <c r="B131" s="5"/>
      <c r="C131" s="5"/>
      <c r="D131" s="39"/>
      <c r="E131" s="39"/>
      <c r="F131" s="39"/>
      <c r="G131" s="5"/>
      <c r="H131" s="132"/>
      <c r="I131" s="3"/>
      <c r="J131" s="3"/>
      <c r="K131" s="3"/>
      <c r="L131" s="3" t="str">
        <f>IFERROR(VLOOKUP(tblSOW9[[#This Row],[Employee name ]],[32]Parameters!CP:CS,4,0),"")</f>
        <v/>
      </c>
      <c r="M131" s="85"/>
      <c r="N131" s="5"/>
      <c r="O131" s="3"/>
      <c r="P131" s="8"/>
      <c r="Q131" s="8"/>
      <c r="R131" s="5"/>
      <c r="S131" s="5"/>
      <c r="T131" s="3"/>
      <c r="U131" s="3"/>
      <c r="V131" s="3"/>
      <c r="W131" s="3"/>
      <c r="X131" s="5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131" s="43"/>
    </row>
    <row r="132" spans="1:75" s="36" customFormat="1">
      <c r="A132" s="5"/>
      <c r="B132" s="5"/>
      <c r="C132" s="5"/>
      <c r="D132" s="39"/>
      <c r="E132" s="39"/>
      <c r="F132" s="39"/>
      <c r="G132" s="5"/>
      <c r="H132" s="132"/>
      <c r="I132" s="3"/>
      <c r="J132" s="3"/>
      <c r="K132" s="3"/>
      <c r="L132" s="3" t="str">
        <f>IFERROR(VLOOKUP(tblSOW9[[#This Row],[Employee name ]],[32]Parameters!CP:CS,4,0),"")</f>
        <v/>
      </c>
      <c r="M132" s="85"/>
      <c r="N132" s="5"/>
      <c r="O132" s="3"/>
      <c r="P132" s="8"/>
      <c r="Q132" s="8"/>
      <c r="R132" s="5"/>
      <c r="S132" s="5"/>
      <c r="T132" s="3"/>
      <c r="U132" s="3"/>
      <c r="V132" s="3"/>
      <c r="W132" s="3"/>
      <c r="X132" s="5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132" s="43"/>
    </row>
    <row r="133" spans="1:75" s="36" customFormat="1">
      <c r="A133" s="5"/>
      <c r="B133" s="5"/>
      <c r="C133" s="5"/>
      <c r="D133" s="39"/>
      <c r="E133" s="39"/>
      <c r="F133" s="39"/>
      <c r="G133" s="5"/>
      <c r="H133" s="132"/>
      <c r="I133" s="3"/>
      <c r="J133" s="3"/>
      <c r="K133" s="3"/>
      <c r="L133" s="3" t="str">
        <f>IFERROR(VLOOKUP(tblSOW9[[#This Row],[Employee name ]],[32]Parameters!CP:CS,4,0),"")</f>
        <v/>
      </c>
      <c r="M133" s="85"/>
      <c r="N133" s="5"/>
      <c r="O133" s="3"/>
      <c r="P133" s="8"/>
      <c r="Q133" s="8"/>
      <c r="R133" s="5"/>
      <c r="S133" s="5"/>
      <c r="T133" s="3"/>
      <c r="U133" s="3"/>
      <c r="V133" s="3"/>
      <c r="W133" s="3"/>
      <c r="X133" s="5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133" s="43"/>
    </row>
    <row r="134" spans="1:75" s="36" customFormat="1">
      <c r="A134" s="5"/>
      <c r="B134" s="5"/>
      <c r="C134" s="5"/>
      <c r="D134" s="39"/>
      <c r="E134" s="39"/>
      <c r="F134" s="39"/>
      <c r="G134" s="5"/>
      <c r="H134" s="132"/>
      <c r="I134" s="3"/>
      <c r="J134" s="3"/>
      <c r="K134" s="3"/>
      <c r="L134" s="3" t="str">
        <f>IFERROR(VLOOKUP(tblSOW9[[#This Row],[Employee name ]],[32]Parameters!CP:CS,4,0),"")</f>
        <v/>
      </c>
      <c r="M134" s="85"/>
      <c r="N134" s="5"/>
      <c r="O134" s="3"/>
      <c r="P134" s="8"/>
      <c r="Q134" s="8"/>
      <c r="R134" s="5"/>
      <c r="S134" s="5"/>
      <c r="T134" s="3"/>
      <c r="U134" s="3"/>
      <c r="V134" s="3"/>
      <c r="W134" s="3"/>
      <c r="X134" s="5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134" s="43"/>
    </row>
    <row r="135" spans="1:75" s="36" customFormat="1">
      <c r="A135" s="5"/>
      <c r="B135" s="5"/>
      <c r="C135" s="5"/>
      <c r="D135" s="39"/>
      <c r="E135" s="39"/>
      <c r="F135" s="39"/>
      <c r="G135" s="5"/>
      <c r="H135" s="132"/>
      <c r="I135" s="3"/>
      <c r="J135" s="3"/>
      <c r="K135" s="3"/>
      <c r="L135" s="3" t="str">
        <f>IFERROR(VLOOKUP(tblSOW9[[#This Row],[Employee name ]],[32]Parameters!CP:CS,4,0),"")</f>
        <v/>
      </c>
      <c r="M135" s="85"/>
      <c r="N135" s="112"/>
      <c r="O135" s="3"/>
      <c r="P135" s="8"/>
      <c r="Q135" s="8"/>
      <c r="R135" s="5"/>
      <c r="S135" s="5"/>
      <c r="T135" s="3"/>
      <c r="U135" s="3"/>
      <c r="V135" s="3"/>
      <c r="W135" s="3"/>
      <c r="X135" s="5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>
        <f xml:space="preserve"> IF(AND(ISNUMBER(SEARCH("-E000",tblSOW9[[#This Row],[Budget Item]])), ISERROR(VLOOKUP(tblSOW9[[#This Row],[Employee name ]],[32]Parameters!CP:DH,19,0))),VLOOKUP(tblSOW9[[#This Row],[Employee name ]],[32]Parameters!CP:DH,19,0),IFERROR(VLOOKUP(tblSOW9[[#This Row],[Employee name ]],[32]Parameters!CP:DH,19,0),0))</f>
        <v>0</v>
      </c>
      <c r="BW135" s="43"/>
    </row>
    <row r="136" spans="1:75" s="36" customFormat="1">
      <c r="A136" s="5"/>
      <c r="B136" s="5"/>
      <c r="C136" s="5"/>
      <c r="D136" s="39"/>
      <c r="E136" s="39"/>
      <c r="F136" s="39"/>
      <c r="G136" s="5"/>
      <c r="H136" s="132"/>
      <c r="I136" s="3"/>
      <c r="J136" s="3"/>
      <c r="K136" s="3"/>
      <c r="L136" s="3" t="str">
        <f>IFERROR(VLOOKUP(tblSOW9[[#This Row],[Employee name ]],[32]Parameters!CP:CS,4,0),"")</f>
        <v/>
      </c>
      <c r="M136" s="85"/>
      <c r="N136" s="112"/>
      <c r="O136" s="3"/>
      <c r="P136" s="8"/>
      <c r="Q136" s="8"/>
      <c r="R136" s="5"/>
      <c r="S136" s="5"/>
      <c r="T136" s="3"/>
      <c r="U136" s="3"/>
      <c r="V136" s="3"/>
      <c r="W136" s="3"/>
      <c r="X136" s="5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</row>
    <row r="137" spans="1:75" s="36" customFormat="1">
      <c r="A137" s="5"/>
      <c r="B137" s="5"/>
      <c r="C137" s="5"/>
      <c r="D137" s="39"/>
      <c r="E137" s="39"/>
      <c r="F137" s="39"/>
      <c r="G137" s="5"/>
      <c r="H137" s="132"/>
      <c r="I137" s="3"/>
      <c r="J137" s="3"/>
      <c r="K137" s="3"/>
      <c r="L137" s="3" t="str">
        <f>IFERROR(VLOOKUP(tblSOW9[[#This Row],[Employee name ]],[32]Parameters!CP:CS,4,0),"")</f>
        <v/>
      </c>
      <c r="M137" s="85"/>
      <c r="N137" s="112"/>
      <c r="O137" s="3"/>
      <c r="P137" s="8"/>
      <c r="Q137" s="8"/>
      <c r="R137" s="5"/>
      <c r="S137" s="5"/>
      <c r="T137" s="3"/>
      <c r="U137" s="3"/>
      <c r="V137" s="3"/>
      <c r="W137" s="3"/>
      <c r="X137" s="5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</row>
    <row r="138" spans="1:75" s="36" customFormat="1">
      <c r="A138" s="5"/>
      <c r="B138" s="5"/>
      <c r="C138" s="5"/>
      <c r="D138" s="39"/>
      <c r="E138" s="39"/>
      <c r="F138" s="39"/>
      <c r="G138" s="5"/>
      <c r="H138" s="132"/>
      <c r="I138" s="3"/>
      <c r="J138" s="3"/>
      <c r="K138" s="3"/>
      <c r="L138" s="3" t="str">
        <f>IFERROR(VLOOKUP(tblSOW9[[#This Row],[Employee name ]],[32]Parameters!CP:CS,4,0),"")</f>
        <v/>
      </c>
      <c r="M138" s="85"/>
      <c r="N138" s="112"/>
      <c r="O138" s="3"/>
      <c r="P138" s="8"/>
      <c r="Q138" s="8"/>
      <c r="R138" s="5"/>
      <c r="S138" s="5"/>
      <c r="T138" s="3"/>
      <c r="U138" s="3"/>
      <c r="V138" s="3"/>
      <c r="W138" s="3"/>
      <c r="X138" s="5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</row>
    <row r="139" spans="1:75" s="36" customFormat="1">
      <c r="A139" s="5"/>
      <c r="B139" s="5"/>
      <c r="C139" s="5"/>
      <c r="D139" s="39"/>
      <c r="E139" s="39"/>
      <c r="F139" s="39"/>
      <c r="G139" s="5"/>
      <c r="H139" s="132"/>
      <c r="I139" s="3"/>
      <c r="J139" s="3"/>
      <c r="K139" s="3"/>
      <c r="L139" s="3" t="str">
        <f>IFERROR(VLOOKUP(tblSOW9[[#This Row],[Employee name ]],[32]Parameters!CP:CS,4,0),"")</f>
        <v/>
      </c>
      <c r="M139" s="85"/>
      <c r="N139" s="112"/>
      <c r="O139" s="3"/>
      <c r="P139" s="8"/>
      <c r="Q139" s="8"/>
      <c r="R139" s="5"/>
      <c r="S139" s="5"/>
      <c r="T139" s="3"/>
      <c r="U139" s="3"/>
      <c r="V139" s="3"/>
      <c r="W139" s="3"/>
      <c r="X139" s="5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</row>
    <row r="140" spans="1:75" s="36" customFormat="1">
      <c r="A140" s="5"/>
      <c r="B140" s="5"/>
      <c r="C140" s="5"/>
      <c r="D140" s="39"/>
      <c r="E140" s="39"/>
      <c r="F140" s="39"/>
      <c r="G140" s="5"/>
      <c r="H140" s="132"/>
      <c r="I140" s="3"/>
      <c r="J140" s="3"/>
      <c r="K140" s="3"/>
      <c r="L140" s="3" t="str">
        <f>IFERROR(VLOOKUP(tblSOW9[[#This Row],[Employee name ]],[32]Parameters!CP:CS,4,0),"")</f>
        <v/>
      </c>
      <c r="M140" s="85"/>
      <c r="N140" s="112"/>
      <c r="O140" s="3"/>
      <c r="P140" s="8"/>
      <c r="Q140" s="8"/>
      <c r="R140" s="5"/>
      <c r="S140" s="5"/>
      <c r="T140" s="3"/>
      <c r="U140" s="3"/>
      <c r="V140" s="3"/>
      <c r="W140" s="3"/>
      <c r="X140" s="5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</row>
    <row r="141" spans="1:75" s="36" customFormat="1">
      <c r="A141" s="5"/>
      <c r="B141" s="5"/>
      <c r="C141" s="5"/>
      <c r="D141" s="39"/>
      <c r="E141" s="39"/>
      <c r="F141" s="39"/>
      <c r="G141" s="5"/>
      <c r="H141" s="132"/>
      <c r="I141" s="3"/>
      <c r="J141" s="3"/>
      <c r="K141" s="3"/>
      <c r="L141" s="3" t="str">
        <f>IFERROR(VLOOKUP(tblSOW9[[#This Row],[Employee name ]],[32]Parameters!CP:CS,4,0),"")</f>
        <v/>
      </c>
      <c r="M141" s="85"/>
      <c r="N141" s="112"/>
      <c r="O141" s="3"/>
      <c r="P141" s="8"/>
      <c r="Q141" s="8"/>
      <c r="R141" s="5"/>
      <c r="S141" s="5"/>
      <c r="T141" s="3"/>
      <c r="U141" s="3"/>
      <c r="V141" s="3"/>
      <c r="W141" s="3"/>
      <c r="X141" s="5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</row>
    <row r="142" spans="1:75" s="36" customFormat="1">
      <c r="A142" s="5"/>
      <c r="B142" s="5"/>
      <c r="C142" s="5"/>
      <c r="D142" s="39"/>
      <c r="E142" s="39"/>
      <c r="F142" s="39"/>
      <c r="G142" s="113"/>
      <c r="H142" s="132"/>
      <c r="I142" s="3"/>
      <c r="J142" s="3"/>
      <c r="K142" s="3"/>
      <c r="L142" s="3" t="str">
        <f>IFERROR(VLOOKUP(tblSOW9[[#This Row],[Employee name ]],[32]Parameters!CP:CS,4,0),"")</f>
        <v/>
      </c>
      <c r="M142" s="133"/>
      <c r="N142" s="112"/>
      <c r="O142" s="3"/>
      <c r="P142" s="8"/>
      <c r="Q142" s="8"/>
      <c r="R142" s="5"/>
      <c r="S142" s="5"/>
      <c r="T142" s="3"/>
      <c r="U142" s="3"/>
      <c r="V142" s="3"/>
      <c r="W142" s="3"/>
      <c r="X142" s="5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</row>
    <row r="143" spans="1:75" s="36" customFormat="1">
      <c r="A143" s="5"/>
      <c r="B143" s="5"/>
      <c r="C143" s="5"/>
      <c r="D143" s="39"/>
      <c r="E143" s="39"/>
      <c r="F143" s="39"/>
      <c r="G143" s="5"/>
      <c r="H143" s="132"/>
      <c r="I143" s="3"/>
      <c r="J143" s="3"/>
      <c r="K143" s="3"/>
      <c r="L143" s="3" t="str">
        <f>IFERROR(VLOOKUP(tblSOW9[[#This Row],[Employee name ]],[32]Parameters!CP:CS,4,0),"")</f>
        <v/>
      </c>
      <c r="M143" s="85"/>
      <c r="N143" s="112"/>
      <c r="O143" s="3"/>
      <c r="P143" s="8"/>
      <c r="Q143" s="8"/>
      <c r="R143" s="5"/>
      <c r="S143" s="5"/>
      <c r="T143" s="3"/>
      <c r="U143" s="3"/>
      <c r="V143" s="3"/>
      <c r="W143" s="3"/>
      <c r="X143" s="5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</row>
    <row r="144" spans="1:75" s="36" customFormat="1">
      <c r="A144" s="5"/>
      <c r="B144" s="5"/>
      <c r="C144" s="5"/>
      <c r="D144" s="39"/>
      <c r="E144" s="39"/>
      <c r="F144" s="39"/>
      <c r="G144" s="5"/>
      <c r="H144" s="132"/>
      <c r="I144" s="3"/>
      <c r="J144" s="3"/>
      <c r="K144" s="3"/>
      <c r="L144" s="3" t="str">
        <f>IFERROR(VLOOKUP(tblSOW9[[#This Row],[Employee name ]],[32]Parameters!CP:CS,4,0),"")</f>
        <v/>
      </c>
      <c r="M144" s="85"/>
      <c r="N144" s="112"/>
      <c r="O144" s="3"/>
      <c r="P144" s="8"/>
      <c r="Q144" s="8"/>
      <c r="R144" s="5"/>
      <c r="S144" s="5"/>
      <c r="T144" s="3"/>
      <c r="U144" s="3"/>
      <c r="V144" s="3"/>
      <c r="W144" s="3"/>
      <c r="X144" s="5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</row>
    <row r="145" spans="1:75" s="36" customFormat="1">
      <c r="A145" s="5"/>
      <c r="B145" s="5"/>
      <c r="C145" s="5"/>
      <c r="D145" s="39"/>
      <c r="E145" s="39"/>
      <c r="F145" s="39"/>
      <c r="G145" s="5"/>
      <c r="H145" s="132"/>
      <c r="I145" s="3"/>
      <c r="J145" s="3"/>
      <c r="K145" s="3"/>
      <c r="L145" s="3" t="str">
        <f>IFERROR(VLOOKUP(tblSOW9[[#This Row],[Employee name ]],[32]Parameters!CP:CS,4,0),"")</f>
        <v/>
      </c>
      <c r="M145" s="85"/>
      <c r="N145" s="112"/>
      <c r="O145" s="3"/>
      <c r="P145" s="8"/>
      <c r="Q145" s="8"/>
      <c r="R145" s="5"/>
      <c r="S145" s="5"/>
      <c r="T145" s="3"/>
      <c r="U145" s="3"/>
      <c r="V145" s="3"/>
      <c r="W145" s="3"/>
      <c r="X145" s="5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</row>
    <row r="146" spans="1:75" s="36" customFormat="1">
      <c r="A146" s="5"/>
      <c r="B146" s="5"/>
      <c r="C146" s="5"/>
      <c r="D146" s="39"/>
      <c r="E146" s="39"/>
      <c r="F146" s="39"/>
      <c r="G146" s="5"/>
      <c r="H146" s="132"/>
      <c r="I146" s="3"/>
      <c r="J146" s="3"/>
      <c r="K146" s="3"/>
      <c r="L146" s="3" t="str">
        <f>IFERROR(VLOOKUP(tblSOW9[[#This Row],[Employee name ]],[32]Parameters!CP:CS,4,0),"")</f>
        <v/>
      </c>
      <c r="M146" s="85"/>
      <c r="N146" s="112"/>
      <c r="O146" s="3"/>
      <c r="P146" s="8"/>
      <c r="Q146" s="8"/>
      <c r="R146" s="5"/>
      <c r="S146" s="5"/>
      <c r="T146" s="3"/>
      <c r="U146" s="3"/>
      <c r="V146" s="3"/>
      <c r="W146" s="3"/>
      <c r="X146" s="5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</row>
    <row r="147" spans="1:75" s="36" customFormat="1">
      <c r="A147" s="5"/>
      <c r="B147" s="5"/>
      <c r="C147" s="5"/>
      <c r="D147" s="39"/>
      <c r="E147" s="39"/>
      <c r="F147" s="39"/>
      <c r="G147" s="5"/>
      <c r="H147" s="132"/>
      <c r="I147" s="3"/>
      <c r="J147" s="3"/>
      <c r="K147" s="3"/>
      <c r="L147" s="3" t="str">
        <f>IFERROR(VLOOKUP(tblSOW9[[#This Row],[Employee name ]],[32]Parameters!CP:CS,4,0),"")</f>
        <v/>
      </c>
      <c r="M147" s="85"/>
      <c r="N147" s="112"/>
      <c r="O147" s="3"/>
      <c r="P147" s="8"/>
      <c r="Q147" s="8"/>
      <c r="R147" s="5"/>
      <c r="S147" s="5"/>
      <c r="T147" s="3"/>
      <c r="U147" s="3"/>
      <c r="V147" s="3"/>
      <c r="W147" s="3"/>
      <c r="X147" s="5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</row>
    <row r="148" spans="1:75" s="36" customFormat="1">
      <c r="A148" s="5"/>
      <c r="B148" s="5"/>
      <c r="C148" s="5"/>
      <c r="D148" s="39"/>
      <c r="E148" s="39"/>
      <c r="F148" s="39"/>
      <c r="G148" s="5"/>
      <c r="H148" s="132"/>
      <c r="I148" s="3"/>
      <c r="J148" s="3"/>
      <c r="K148" s="3"/>
      <c r="L148" s="3" t="str">
        <f>IFERROR(VLOOKUP(tblSOW9[[#This Row],[Employee name ]],[32]Parameters!CP:CS,4,0),"")</f>
        <v/>
      </c>
      <c r="M148" s="85"/>
      <c r="N148" s="112"/>
      <c r="O148" s="3"/>
      <c r="P148" s="8"/>
      <c r="Q148" s="8"/>
      <c r="R148" s="5"/>
      <c r="S148" s="5"/>
      <c r="T148" s="3"/>
      <c r="U148" s="3"/>
      <c r="V148" s="3"/>
      <c r="W148" s="3"/>
      <c r="X148" s="5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</row>
    <row r="149" spans="1:75" s="36" customFormat="1">
      <c r="A149" s="5"/>
      <c r="B149" s="5"/>
      <c r="C149" s="5"/>
      <c r="D149" s="39"/>
      <c r="E149" s="39"/>
      <c r="F149" s="39"/>
      <c r="G149" s="5"/>
      <c r="H149" s="132"/>
      <c r="I149" s="3"/>
      <c r="J149" s="3"/>
      <c r="K149" s="3"/>
      <c r="L149" s="3" t="str">
        <f>IFERROR(VLOOKUP(tblSOW9[[#This Row],[Employee name ]],[32]Parameters!CP:CS,4,0),"")</f>
        <v/>
      </c>
      <c r="M149" s="85"/>
      <c r="N149" s="112"/>
      <c r="O149" s="3"/>
      <c r="P149" s="8"/>
      <c r="Q149" s="8"/>
      <c r="R149" s="5"/>
      <c r="S149" s="5"/>
      <c r="T149" s="3"/>
      <c r="U149" s="3"/>
      <c r="V149" s="3"/>
      <c r="W149" s="3"/>
      <c r="X149" s="5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</row>
    <row r="150" spans="1:75" s="36" customFormat="1">
      <c r="A150" s="5"/>
      <c r="B150" s="5"/>
      <c r="C150" s="5"/>
      <c r="D150" s="39"/>
      <c r="E150" s="39"/>
      <c r="F150" s="39"/>
      <c r="G150" s="5"/>
      <c r="H150" s="132"/>
      <c r="I150" s="3"/>
      <c r="J150" s="3"/>
      <c r="K150" s="3"/>
      <c r="L150" s="3" t="str">
        <f>IFERROR(VLOOKUP(tblSOW9[[#This Row],[Employee name ]],[32]Parameters!CP:CS,4,0),"")</f>
        <v/>
      </c>
      <c r="M150" s="85"/>
      <c r="N150" s="112"/>
      <c r="O150" s="3"/>
      <c r="P150" s="8"/>
      <c r="Q150" s="8"/>
      <c r="R150" s="5"/>
      <c r="S150" s="5"/>
      <c r="T150" s="3"/>
      <c r="U150" s="3"/>
      <c r="V150" s="3"/>
      <c r="W150" s="3"/>
      <c r="X150" s="5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</row>
    <row r="151" spans="1:75" s="36" customFormat="1">
      <c r="A151" s="5"/>
      <c r="B151" s="5"/>
      <c r="C151" s="5"/>
      <c r="D151" s="39"/>
      <c r="E151" s="39"/>
      <c r="F151" s="39"/>
      <c r="G151" s="5"/>
      <c r="H151" s="132"/>
      <c r="I151" s="3"/>
      <c r="J151" s="3"/>
      <c r="K151" s="3"/>
      <c r="L151" s="3" t="str">
        <f>IFERROR(VLOOKUP(tblSOW9[[#This Row],[Employee name ]],[32]Parameters!CP:CS,4,0),"")</f>
        <v/>
      </c>
      <c r="M151" s="85"/>
      <c r="N151" s="112"/>
      <c r="O151" s="3"/>
      <c r="P151" s="8"/>
      <c r="Q151" s="8"/>
      <c r="R151" s="5"/>
      <c r="S151" s="5"/>
      <c r="T151" s="3"/>
      <c r="U151" s="3"/>
      <c r="V151" s="3"/>
      <c r="W151" s="3"/>
      <c r="X151" s="5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</row>
    <row r="152" spans="1:75" s="36" customFormat="1">
      <c r="A152" s="5"/>
      <c r="B152" s="5"/>
      <c r="C152" s="5"/>
      <c r="D152" s="39"/>
      <c r="E152" s="39"/>
      <c r="F152" s="39"/>
      <c r="G152" s="5"/>
      <c r="H152" s="132"/>
      <c r="I152" s="3"/>
      <c r="J152" s="3"/>
      <c r="K152" s="3"/>
      <c r="L152" s="3" t="str">
        <f>IFERROR(VLOOKUP(tblSOW9[[#This Row],[Employee name ]],[32]Parameters!CP:CS,4,0),"")</f>
        <v/>
      </c>
      <c r="M152" s="85"/>
      <c r="N152" s="112"/>
      <c r="O152" s="3"/>
      <c r="P152" s="8"/>
      <c r="Q152" s="8"/>
      <c r="R152" s="5"/>
      <c r="S152" s="5"/>
      <c r="T152" s="3"/>
      <c r="U152" s="3"/>
      <c r="V152" s="3"/>
      <c r="W152" s="3"/>
      <c r="X152" s="5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</row>
    <row r="153" spans="1:75" s="36" customFormat="1">
      <c r="A153" s="5"/>
      <c r="B153" s="5"/>
      <c r="C153" s="5"/>
      <c r="D153" s="39"/>
      <c r="E153" s="39"/>
      <c r="F153" s="39"/>
      <c r="G153" s="5"/>
      <c r="H153" s="132"/>
      <c r="I153" s="3"/>
      <c r="J153" s="3"/>
      <c r="K153" s="3"/>
      <c r="L153" s="3" t="str">
        <f>IFERROR(VLOOKUP(tblSOW9[[#This Row],[Employee name ]],[32]Parameters!CP:CS,4,0),"")</f>
        <v/>
      </c>
      <c r="M153" s="85"/>
      <c r="N153" s="112"/>
      <c r="O153" s="3"/>
      <c r="P153" s="8"/>
      <c r="Q153" s="8"/>
      <c r="R153" s="5"/>
      <c r="S153" s="5"/>
      <c r="T153" s="3"/>
      <c r="U153" s="3"/>
      <c r="V153" s="3"/>
      <c r="W153" s="3"/>
      <c r="X153" s="5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</row>
    <row r="154" spans="1:75" s="36" customFormat="1">
      <c r="A154" s="5"/>
      <c r="B154" s="5"/>
      <c r="C154" s="5"/>
      <c r="D154" s="39"/>
      <c r="E154" s="39"/>
      <c r="F154" s="39"/>
      <c r="G154" s="5"/>
      <c r="H154" s="132"/>
      <c r="I154" s="3"/>
      <c r="J154" s="3"/>
      <c r="K154" s="3"/>
      <c r="L154" s="3" t="str">
        <f>IFERROR(VLOOKUP(tblSOW9[[#This Row],[Employee name ]],[32]Parameters!CP:CS,4,0),"")</f>
        <v/>
      </c>
      <c r="M154" s="85"/>
      <c r="N154" s="112"/>
      <c r="O154" s="3"/>
      <c r="P154" s="8"/>
      <c r="Q154" s="8"/>
      <c r="R154" s="5"/>
      <c r="S154" s="5"/>
      <c r="T154" s="3"/>
      <c r="U154" s="3"/>
      <c r="V154" s="3"/>
      <c r="W154" s="3"/>
      <c r="X154" s="5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</row>
    <row r="155" spans="1:75" s="36" customFormat="1">
      <c r="A155" s="5"/>
      <c r="B155" s="5"/>
      <c r="C155" s="5"/>
      <c r="D155" s="39"/>
      <c r="E155" s="39"/>
      <c r="F155" s="39"/>
      <c r="G155" s="5"/>
      <c r="H155" s="132"/>
      <c r="I155" s="3"/>
      <c r="J155" s="3"/>
      <c r="K155" s="3"/>
      <c r="L155" s="3" t="str">
        <f>IFERROR(VLOOKUP(tblSOW9[[#This Row],[Employee name ]],[32]Parameters!CP:CS,4,0),"")</f>
        <v/>
      </c>
      <c r="M155" s="85"/>
      <c r="N155" s="112"/>
      <c r="O155" s="3"/>
      <c r="P155" s="8"/>
      <c r="Q155" s="8"/>
      <c r="R155" s="5"/>
      <c r="S155" s="5"/>
      <c r="T155" s="3"/>
      <c r="U155" s="3"/>
      <c r="V155" s="3"/>
      <c r="W155" s="3"/>
      <c r="X155" s="5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</row>
    <row r="156" spans="1:75" s="36" customFormat="1">
      <c r="A156" s="5"/>
      <c r="B156" s="5"/>
      <c r="C156" s="5"/>
      <c r="D156" s="39"/>
      <c r="E156" s="39"/>
      <c r="F156" s="39"/>
      <c r="G156" s="5"/>
      <c r="H156" s="132"/>
      <c r="I156" s="3"/>
      <c r="J156" s="3"/>
      <c r="K156" s="3"/>
      <c r="L156" s="3" t="str">
        <f>IFERROR(VLOOKUP(tblSOW9[[#This Row],[Employee name ]],[32]Parameters!CP:CS,4,0),"")</f>
        <v/>
      </c>
      <c r="M156" s="85"/>
      <c r="N156" s="112"/>
      <c r="O156" s="3"/>
      <c r="P156" s="8"/>
      <c r="Q156" s="8"/>
      <c r="R156" s="5"/>
      <c r="S156" s="5"/>
      <c r="T156" s="3"/>
      <c r="U156" s="3"/>
      <c r="V156" s="3"/>
      <c r="W156" s="3"/>
      <c r="X156" s="5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</row>
    <row r="157" spans="1:75" s="36" customFormat="1">
      <c r="A157" s="5"/>
      <c r="B157" s="5"/>
      <c r="C157" s="5"/>
      <c r="D157" s="39"/>
      <c r="E157" s="39"/>
      <c r="F157" s="39"/>
      <c r="G157" s="5"/>
      <c r="H157" s="132"/>
      <c r="I157" s="3"/>
      <c r="J157" s="3"/>
      <c r="K157" s="3"/>
      <c r="L157" s="3" t="str">
        <f>IFERROR(VLOOKUP(tblSOW9[[#This Row],[Employee name ]],[32]Parameters!CP:CS,4,0),"")</f>
        <v/>
      </c>
      <c r="M157" s="85"/>
      <c r="N157" s="112"/>
      <c r="O157" s="3"/>
      <c r="P157" s="8"/>
      <c r="Q157" s="8"/>
      <c r="R157" s="5"/>
      <c r="S157" s="5"/>
      <c r="T157" s="3"/>
      <c r="U157" s="3"/>
      <c r="V157" s="3"/>
      <c r="W157" s="3"/>
      <c r="X157" s="5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</row>
    <row r="158" spans="1:75" s="36" customFormat="1">
      <c r="A158" s="5"/>
      <c r="B158" s="5"/>
      <c r="C158" s="5"/>
      <c r="D158" s="39"/>
      <c r="E158" s="39"/>
      <c r="F158" s="39"/>
      <c r="G158" s="5"/>
      <c r="H158" s="132"/>
      <c r="I158" s="3"/>
      <c r="J158" s="3"/>
      <c r="K158" s="3"/>
      <c r="L158" s="3" t="str">
        <f>IFERROR(VLOOKUP(tblSOW9[[#This Row],[Employee name ]],[32]Parameters!CP:CS,4,0),"")</f>
        <v/>
      </c>
      <c r="M158" s="85"/>
      <c r="N158" s="112"/>
      <c r="O158" s="3"/>
      <c r="P158" s="8"/>
      <c r="Q158" s="8"/>
      <c r="R158" s="5"/>
      <c r="S158" s="5"/>
      <c r="T158" s="3"/>
      <c r="U158" s="3"/>
      <c r="V158" s="3"/>
      <c r="W158" s="3"/>
      <c r="X158" s="5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</row>
    <row r="159" spans="1:75" s="36" customFormat="1">
      <c r="A159" s="5"/>
      <c r="B159" s="5"/>
      <c r="C159" s="5"/>
      <c r="D159" s="39"/>
      <c r="E159" s="39"/>
      <c r="F159" s="39"/>
      <c r="G159" s="5"/>
      <c r="H159" s="132"/>
      <c r="I159" s="3"/>
      <c r="J159" s="3"/>
      <c r="K159" s="3"/>
      <c r="L159" s="3" t="str">
        <f>IFERROR(VLOOKUP(tblSOW9[[#This Row],[Employee name ]],[32]Parameters!CP:CS,4,0),"")</f>
        <v/>
      </c>
      <c r="M159" s="85"/>
      <c r="N159" s="112"/>
      <c r="O159" s="3"/>
      <c r="P159" s="8"/>
      <c r="Q159" s="8"/>
      <c r="R159" s="5"/>
      <c r="S159" s="5"/>
      <c r="T159" s="3"/>
      <c r="U159" s="3"/>
      <c r="V159" s="3"/>
      <c r="W159" s="3"/>
      <c r="X159" s="5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</row>
    <row r="160" spans="1:75" s="36" customFormat="1">
      <c r="A160" s="5"/>
      <c r="B160" s="5"/>
      <c r="C160" s="5"/>
      <c r="D160" s="39"/>
      <c r="E160" s="39"/>
      <c r="F160" s="39"/>
      <c r="G160" s="5"/>
      <c r="H160" s="132"/>
      <c r="I160" s="3"/>
      <c r="J160" s="3"/>
      <c r="K160" s="3"/>
      <c r="L160" s="3" t="str">
        <f>IFERROR(VLOOKUP(tblSOW9[[#This Row],[Employee name ]],[32]Parameters!CP:CS,4,0),"")</f>
        <v/>
      </c>
      <c r="M160" s="85"/>
      <c r="N160" s="112"/>
      <c r="O160" s="3"/>
      <c r="P160" s="8"/>
      <c r="Q160" s="8"/>
      <c r="R160" s="5"/>
      <c r="S160" s="5"/>
      <c r="T160" s="3"/>
      <c r="U160" s="3"/>
      <c r="V160" s="3"/>
      <c r="W160" s="3"/>
      <c r="X160" s="5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</row>
    <row r="161" spans="1:75" s="36" customFormat="1">
      <c r="A161" s="5"/>
      <c r="B161" s="5"/>
      <c r="C161" s="5"/>
      <c r="D161" s="39"/>
      <c r="E161" s="39"/>
      <c r="F161" s="39"/>
      <c r="G161" s="5"/>
      <c r="H161" s="132"/>
      <c r="I161" s="3"/>
      <c r="J161" s="3"/>
      <c r="K161" s="3"/>
      <c r="L161" s="3" t="str">
        <f>IFERROR(VLOOKUP(tblSOW9[[#This Row],[Employee name ]],[32]Parameters!CP:CS,4,0),"")</f>
        <v/>
      </c>
      <c r="M161" s="85"/>
      <c r="N161" s="112"/>
      <c r="O161" s="3"/>
      <c r="P161" s="8"/>
      <c r="Q161" s="8"/>
      <c r="R161" s="5"/>
      <c r="S161" s="5"/>
      <c r="T161" s="3"/>
      <c r="U161" s="3"/>
      <c r="V161" s="3"/>
      <c r="W161" s="3"/>
      <c r="X161" s="5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</row>
    <row r="162" spans="1:75" s="36" customFormat="1">
      <c r="A162" s="5"/>
      <c r="B162" s="5"/>
      <c r="C162" s="5"/>
      <c r="D162" s="39"/>
      <c r="E162" s="39"/>
      <c r="F162" s="39"/>
      <c r="G162" s="5"/>
      <c r="H162" s="132"/>
      <c r="I162" s="3"/>
      <c r="J162" s="3"/>
      <c r="K162" s="3"/>
      <c r="L162" s="3" t="str">
        <f>IFERROR(VLOOKUP(tblSOW9[[#This Row],[Employee name ]],[32]Parameters!CP:CS,4,0),"")</f>
        <v/>
      </c>
      <c r="M162" s="85"/>
      <c r="N162" s="112"/>
      <c r="O162" s="3"/>
      <c r="P162" s="8"/>
      <c r="Q162" s="8"/>
      <c r="R162" s="5"/>
      <c r="S162" s="5"/>
      <c r="T162" s="3"/>
      <c r="U162" s="3"/>
      <c r="V162" s="3"/>
      <c r="W162" s="3"/>
      <c r="X162" s="5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</row>
    <row r="163" spans="1:75" s="36" customFormat="1">
      <c r="A163" s="5"/>
      <c r="B163" s="5"/>
      <c r="C163" s="5"/>
      <c r="D163" s="39"/>
      <c r="E163" s="39"/>
      <c r="F163" s="39"/>
      <c r="G163" s="5"/>
      <c r="H163" s="132"/>
      <c r="I163" s="3"/>
      <c r="J163" s="3"/>
      <c r="K163" s="3"/>
      <c r="L163" s="3" t="str">
        <f>IFERROR(VLOOKUP(tblSOW9[[#This Row],[Employee name ]],[32]Parameters!CP:CS,4,0),"")</f>
        <v/>
      </c>
      <c r="M163" s="85"/>
      <c r="N163" s="112"/>
      <c r="O163" s="3"/>
      <c r="P163" s="8"/>
      <c r="Q163" s="8"/>
      <c r="R163" s="5"/>
      <c r="S163" s="5"/>
      <c r="T163" s="3"/>
      <c r="U163" s="3"/>
      <c r="V163" s="3"/>
      <c r="W163" s="3"/>
      <c r="X163" s="5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</row>
    <row r="164" spans="1:75" s="36" customFormat="1">
      <c r="A164" s="5"/>
      <c r="B164" s="5"/>
      <c r="C164" s="5"/>
      <c r="D164" s="39"/>
      <c r="E164" s="39"/>
      <c r="F164" s="39"/>
      <c r="G164" s="5"/>
      <c r="H164" s="132"/>
      <c r="I164" s="3"/>
      <c r="J164" s="3"/>
      <c r="K164" s="3"/>
      <c r="L164" s="3" t="str">
        <f>IFERROR(VLOOKUP(tblSOW9[[#This Row],[Employee name ]],[32]Parameters!CP:CS,4,0),"")</f>
        <v/>
      </c>
      <c r="M164" s="85"/>
      <c r="N164" s="112"/>
      <c r="O164" s="3"/>
      <c r="P164" s="8"/>
      <c r="Q164" s="8"/>
      <c r="R164" s="5"/>
      <c r="S164" s="5"/>
      <c r="T164" s="3"/>
      <c r="U164" s="3"/>
      <c r="V164" s="3"/>
      <c r="W164" s="3"/>
      <c r="X164" s="5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</row>
    <row r="165" spans="1:75" s="36" customFormat="1">
      <c r="A165" s="5"/>
      <c r="B165" s="5"/>
      <c r="C165" s="5"/>
      <c r="D165" s="39"/>
      <c r="E165" s="39"/>
      <c r="F165" s="39"/>
      <c r="G165" s="5"/>
      <c r="H165" s="132"/>
      <c r="I165" s="3"/>
      <c r="J165" s="3"/>
      <c r="K165" s="3"/>
      <c r="L165" s="3" t="str">
        <f>IFERROR(VLOOKUP(tblSOW9[[#This Row],[Employee name ]],[32]Parameters!CP:CS,4,0),"")</f>
        <v/>
      </c>
      <c r="M165" s="85"/>
      <c r="N165" s="112"/>
      <c r="O165" s="3"/>
      <c r="P165" s="8"/>
      <c r="Q165" s="8"/>
      <c r="R165" s="5"/>
      <c r="S165" s="5"/>
      <c r="T165" s="3"/>
      <c r="U165" s="3"/>
      <c r="V165" s="3"/>
      <c r="W165" s="3"/>
      <c r="X165" s="5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</row>
    <row r="166" spans="1:75" s="36" customFormat="1">
      <c r="A166" s="5"/>
      <c r="B166" s="5"/>
      <c r="C166" s="5"/>
      <c r="D166" s="39"/>
      <c r="E166" s="39"/>
      <c r="F166" s="39"/>
      <c r="G166" s="5"/>
      <c r="H166" s="132"/>
      <c r="I166" s="3"/>
      <c r="J166" s="3"/>
      <c r="K166" s="3"/>
      <c r="L166" s="3" t="str">
        <f>IFERROR(VLOOKUP(tblSOW9[[#This Row],[Employee name ]],[32]Parameters!CP:CS,4,0),"")</f>
        <v/>
      </c>
      <c r="M166" s="85"/>
      <c r="N166" s="112"/>
      <c r="O166" s="3"/>
      <c r="P166" s="8"/>
      <c r="Q166" s="8"/>
      <c r="R166" s="5"/>
      <c r="S166" s="5"/>
      <c r="T166" s="3"/>
      <c r="U166" s="3"/>
      <c r="V166" s="3"/>
      <c r="W166" s="3"/>
      <c r="X166" s="5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</row>
    <row r="167" spans="1:75" s="36" customFormat="1">
      <c r="A167" s="5"/>
      <c r="B167" s="5"/>
      <c r="C167" s="5"/>
      <c r="D167" s="39"/>
      <c r="E167" s="39"/>
      <c r="F167" s="39"/>
      <c r="G167" s="5"/>
      <c r="H167" s="132"/>
      <c r="I167" s="3"/>
      <c r="J167" s="3"/>
      <c r="K167" s="3"/>
      <c r="L167" s="3" t="str">
        <f>IFERROR(VLOOKUP(tblSOW9[[#This Row],[Employee name ]],[32]Parameters!CP:CS,4,0),"")</f>
        <v/>
      </c>
      <c r="M167" s="85"/>
      <c r="N167" s="112"/>
      <c r="O167" s="3"/>
      <c r="P167" s="8"/>
      <c r="Q167" s="8"/>
      <c r="R167" s="5"/>
      <c r="S167" s="5"/>
      <c r="T167" s="3"/>
      <c r="U167" s="3"/>
      <c r="V167" s="3"/>
      <c r="W167" s="3"/>
      <c r="X167" s="5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</row>
    <row r="168" spans="1:75" s="36" customFormat="1">
      <c r="A168" s="5"/>
      <c r="B168" s="5"/>
      <c r="C168" s="5"/>
      <c r="D168" s="39"/>
      <c r="E168" s="39"/>
      <c r="F168" s="39"/>
      <c r="G168" s="5"/>
      <c r="H168" s="132"/>
      <c r="I168" s="3"/>
      <c r="J168" s="3"/>
      <c r="K168" s="3"/>
      <c r="L168" s="3" t="str">
        <f>IFERROR(VLOOKUP(tblSOW9[[#This Row],[Employee name ]],[32]Parameters!CP:CS,4,0),"")</f>
        <v/>
      </c>
      <c r="M168" s="5"/>
      <c r="N168" s="112"/>
      <c r="O168" s="3"/>
      <c r="P168" s="8"/>
      <c r="Q168" s="8"/>
      <c r="R168" s="5"/>
      <c r="S168" s="5"/>
      <c r="T168" s="3"/>
      <c r="U168" s="3"/>
      <c r="V168" s="3"/>
      <c r="W168" s="3"/>
      <c r="X168" s="5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</row>
    <row r="169" spans="1:75" s="36" customFormat="1">
      <c r="A169" s="5"/>
      <c r="B169" s="5"/>
      <c r="C169" s="5"/>
      <c r="D169" s="39"/>
      <c r="E169" s="39"/>
      <c r="F169" s="39"/>
      <c r="G169" s="5"/>
      <c r="H169" s="132"/>
      <c r="I169" s="3"/>
      <c r="J169" s="3"/>
      <c r="K169" s="3"/>
      <c r="L169" s="3" t="str">
        <f>IFERROR(VLOOKUP(tblSOW9[[#This Row],[Employee name ]],[32]Parameters!CP:CS,4,0),"")</f>
        <v/>
      </c>
      <c r="M169" s="5"/>
      <c r="N169" s="112"/>
      <c r="O169" s="3"/>
      <c r="P169" s="8"/>
      <c r="Q169" s="8"/>
      <c r="R169" s="5"/>
      <c r="S169" s="5"/>
      <c r="T169" s="3"/>
      <c r="U169" s="3"/>
      <c r="V169" s="3"/>
      <c r="W169" s="3"/>
      <c r="X169" s="5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</row>
    <row r="170" spans="1:75" s="36" customFormat="1">
      <c r="A170" s="5"/>
      <c r="B170" s="5"/>
      <c r="C170" s="5"/>
      <c r="D170" s="39"/>
      <c r="E170" s="39"/>
      <c r="F170" s="39"/>
      <c r="G170" s="5"/>
      <c r="H170" s="132"/>
      <c r="I170" s="3"/>
      <c r="J170" s="3"/>
      <c r="K170" s="3"/>
      <c r="L170" s="3" t="str">
        <f>IFERROR(VLOOKUP(tblSOW9[[#This Row],[Employee name ]],[32]Parameters!CP:CS,4,0),"")</f>
        <v/>
      </c>
      <c r="M170" s="5"/>
      <c r="N170" s="112"/>
      <c r="O170" s="3"/>
      <c r="P170" s="8"/>
      <c r="Q170" s="8"/>
      <c r="R170" s="5"/>
      <c r="S170" s="5"/>
      <c r="T170" s="3"/>
      <c r="U170" s="3"/>
      <c r="V170" s="3"/>
      <c r="W170" s="3"/>
      <c r="X170" s="5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</row>
    <row r="171" spans="1:75" s="36" customFormat="1">
      <c r="A171" s="5"/>
      <c r="B171" s="5"/>
      <c r="C171" s="5"/>
      <c r="D171" s="39"/>
      <c r="E171" s="39"/>
      <c r="F171" s="39"/>
      <c r="G171" s="5"/>
      <c r="H171" s="132"/>
      <c r="I171" s="3"/>
      <c r="J171" s="3"/>
      <c r="K171" s="3"/>
      <c r="L171" s="3" t="str">
        <f>IFERROR(VLOOKUP(tblSOW9[[#This Row],[Employee name ]],[32]Parameters!CP:CS,4,0),"")</f>
        <v/>
      </c>
      <c r="M171" s="85"/>
      <c r="N171" s="112"/>
      <c r="O171" s="3"/>
      <c r="P171" s="8"/>
      <c r="Q171" s="8"/>
      <c r="R171" s="5"/>
      <c r="S171" s="5"/>
      <c r="T171" s="3"/>
      <c r="U171" s="3"/>
      <c r="V171" s="3"/>
      <c r="W171" s="3"/>
      <c r="X171" s="5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</row>
    <row r="172" spans="1:75" s="36" customFormat="1">
      <c r="A172" s="5"/>
      <c r="B172" s="5"/>
      <c r="C172" s="5"/>
      <c r="D172" s="39"/>
      <c r="E172" s="39"/>
      <c r="F172" s="39"/>
      <c r="G172" s="5"/>
      <c r="H172" s="132"/>
      <c r="I172" s="3"/>
      <c r="J172" s="3"/>
      <c r="K172" s="3"/>
      <c r="L172" s="3" t="str">
        <f>IFERROR(VLOOKUP(tblSOW9[[#This Row],[Employee name ]],[32]Parameters!CP:CS,4,0),"")</f>
        <v/>
      </c>
      <c r="M172" s="85"/>
      <c r="N172" s="112"/>
      <c r="O172" s="3"/>
      <c r="P172" s="8"/>
      <c r="Q172" s="8"/>
      <c r="R172" s="5"/>
      <c r="S172" s="5"/>
      <c r="T172" s="3"/>
      <c r="U172" s="3"/>
      <c r="V172" s="3"/>
      <c r="W172" s="3"/>
      <c r="X172" s="5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</row>
    <row r="173" spans="1:75" s="36" customFormat="1">
      <c r="A173" s="5"/>
      <c r="B173" s="5"/>
      <c r="C173" s="5"/>
      <c r="D173" s="39"/>
      <c r="E173" s="39"/>
      <c r="F173" s="39"/>
      <c r="G173" s="5"/>
      <c r="H173" s="132"/>
      <c r="I173" s="3"/>
      <c r="J173" s="3"/>
      <c r="K173" s="3"/>
      <c r="L173" s="3" t="str">
        <f>IFERROR(VLOOKUP(tblSOW9[[#This Row],[Employee name ]],[32]Parameters!CP:CS,4,0),"")</f>
        <v/>
      </c>
      <c r="M173" s="85"/>
      <c r="N173" s="112"/>
      <c r="O173" s="3"/>
      <c r="P173" s="8"/>
      <c r="Q173" s="8"/>
      <c r="R173" s="5"/>
      <c r="S173" s="5"/>
      <c r="T173" s="3"/>
      <c r="U173" s="3"/>
      <c r="V173" s="3"/>
      <c r="W173" s="3"/>
      <c r="X173" s="5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</row>
    <row r="174" spans="1:75" s="36" customFormat="1">
      <c r="A174" s="5"/>
      <c r="B174" s="5"/>
      <c r="C174" s="5"/>
      <c r="D174" s="39"/>
      <c r="E174" s="39"/>
      <c r="F174" s="39"/>
      <c r="G174" s="5"/>
      <c r="H174" s="132"/>
      <c r="I174" s="3"/>
      <c r="J174" s="3"/>
      <c r="K174" s="3"/>
      <c r="L174" s="3" t="str">
        <f>IFERROR(VLOOKUP(tblSOW9[[#This Row],[Employee name ]],[32]Parameters!CP:CS,4,0),"")</f>
        <v/>
      </c>
      <c r="M174" s="85"/>
      <c r="N174" s="112"/>
      <c r="O174" s="3"/>
      <c r="P174" s="8"/>
      <c r="Q174" s="8"/>
      <c r="R174" s="5"/>
      <c r="S174" s="5"/>
      <c r="T174" s="3"/>
      <c r="U174" s="3"/>
      <c r="V174" s="3"/>
      <c r="W174" s="3"/>
      <c r="X174" s="5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</row>
    <row r="175" spans="1:75" s="36" customFormat="1">
      <c r="A175" s="5"/>
      <c r="B175" s="5"/>
      <c r="C175" s="5"/>
      <c r="D175" s="39"/>
      <c r="E175" s="39"/>
      <c r="F175" s="39"/>
      <c r="G175" s="5"/>
      <c r="H175" s="132"/>
      <c r="I175" s="3"/>
      <c r="J175" s="3"/>
      <c r="K175" s="3"/>
      <c r="L175" s="3" t="str">
        <f>IFERROR(VLOOKUP(tblSOW9[[#This Row],[Employee name ]],[32]Parameters!CP:CS,4,0),"")</f>
        <v/>
      </c>
      <c r="M175" s="85"/>
      <c r="N175" s="112"/>
      <c r="O175" s="3"/>
      <c r="P175" s="8"/>
      <c r="Q175" s="8"/>
      <c r="R175" s="5"/>
      <c r="S175" s="5"/>
      <c r="T175" s="3"/>
      <c r="U175" s="3"/>
      <c r="V175" s="3"/>
      <c r="W175" s="3"/>
      <c r="X175" s="5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</row>
    <row r="176" spans="1:75" s="36" customFormat="1">
      <c r="A176" s="5"/>
      <c r="B176" s="5"/>
      <c r="C176" s="5"/>
      <c r="D176" s="39"/>
      <c r="E176" s="39"/>
      <c r="F176" s="39"/>
      <c r="G176" s="5"/>
      <c r="H176" s="132"/>
      <c r="I176" s="3"/>
      <c r="J176" s="3"/>
      <c r="K176" s="3"/>
      <c r="L176" s="3" t="str">
        <f>IFERROR(VLOOKUP(tblSOW9[[#This Row],[Employee name ]],[32]Parameters!CP:CS,4,0),"")</f>
        <v/>
      </c>
      <c r="M176" s="85"/>
      <c r="N176" s="112"/>
      <c r="O176" s="3"/>
      <c r="P176" s="8"/>
      <c r="Q176" s="8"/>
      <c r="R176" s="5"/>
      <c r="S176" s="5"/>
      <c r="T176" s="3"/>
      <c r="U176" s="3"/>
      <c r="V176" s="3"/>
      <c r="W176" s="3"/>
      <c r="X176" s="5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</row>
    <row r="177" spans="1:75" s="36" customFormat="1">
      <c r="A177" s="5"/>
      <c r="B177" s="5"/>
      <c r="C177" s="5"/>
      <c r="D177" s="39"/>
      <c r="E177" s="39"/>
      <c r="F177" s="39"/>
      <c r="G177" s="5"/>
      <c r="H177" s="132"/>
      <c r="I177" s="3"/>
      <c r="J177" s="3"/>
      <c r="K177" s="3"/>
      <c r="L177" s="3" t="str">
        <f>IFERROR(VLOOKUP(tblSOW9[[#This Row],[Employee name ]],[32]Parameters!CP:CS,4,0),"")</f>
        <v/>
      </c>
      <c r="M177" s="85"/>
      <c r="N177" s="112"/>
      <c r="O177" s="3"/>
      <c r="P177" s="8"/>
      <c r="Q177" s="8"/>
      <c r="R177" s="5"/>
      <c r="S177" s="5"/>
      <c r="T177" s="3"/>
      <c r="U177" s="3"/>
      <c r="V177" s="3"/>
      <c r="W177" s="3"/>
      <c r="X177" s="5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</row>
    <row r="178" spans="1:75" s="36" customFormat="1">
      <c r="A178" s="5"/>
      <c r="B178" s="5"/>
      <c r="C178" s="5"/>
      <c r="D178" s="39"/>
      <c r="E178" s="39"/>
      <c r="F178" s="39"/>
      <c r="G178" s="5"/>
      <c r="H178" s="132"/>
      <c r="I178" s="3"/>
      <c r="J178" s="3"/>
      <c r="K178" s="3"/>
      <c r="L178" s="3" t="str">
        <f>IFERROR(VLOOKUP(tblSOW9[[#This Row],[Employee name ]],[32]Parameters!CP:CS,4,0),"")</f>
        <v/>
      </c>
      <c r="M178" s="85"/>
      <c r="N178" s="112"/>
      <c r="O178" s="3"/>
      <c r="P178" s="8"/>
      <c r="Q178" s="8"/>
      <c r="R178" s="5"/>
      <c r="S178" s="5"/>
      <c r="T178" s="3"/>
      <c r="U178" s="3"/>
      <c r="V178" s="3"/>
      <c r="W178" s="3"/>
      <c r="X178" s="5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</row>
    <row r="179" spans="1:75" s="36" customFormat="1">
      <c r="A179" s="5"/>
      <c r="B179" s="5"/>
      <c r="C179" s="5"/>
      <c r="D179" s="39"/>
      <c r="E179" s="39"/>
      <c r="F179" s="39"/>
      <c r="G179" s="5"/>
      <c r="H179" s="132"/>
      <c r="I179" s="3"/>
      <c r="J179" s="3"/>
      <c r="K179" s="3"/>
      <c r="L179" s="3" t="str">
        <f>IFERROR(VLOOKUP(tblSOW9[[#This Row],[Employee name ]],[32]Parameters!CP:CS,4,0),"")</f>
        <v/>
      </c>
      <c r="M179" s="85"/>
      <c r="N179" s="112"/>
      <c r="O179" s="3"/>
      <c r="P179" s="8"/>
      <c r="Q179" s="8"/>
      <c r="R179" s="5"/>
      <c r="S179" s="5"/>
      <c r="T179" s="3"/>
      <c r="U179" s="3"/>
      <c r="V179" s="3"/>
      <c r="W179" s="3"/>
      <c r="X179" s="5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</row>
    <row r="180" spans="1:75" s="36" customFormat="1">
      <c r="A180" s="5"/>
      <c r="B180" s="5"/>
      <c r="C180" s="5"/>
      <c r="D180" s="39"/>
      <c r="E180" s="39"/>
      <c r="F180" s="39"/>
      <c r="G180" s="5"/>
      <c r="H180" s="132"/>
      <c r="I180" s="3"/>
      <c r="J180" s="3"/>
      <c r="K180" s="3"/>
      <c r="L180" s="3" t="str">
        <f>IFERROR(VLOOKUP(tblSOW9[[#This Row],[Employee name ]],[32]Parameters!CP:CS,4,0),"")</f>
        <v/>
      </c>
      <c r="M180" s="85"/>
      <c r="N180" s="112"/>
      <c r="O180" s="3"/>
      <c r="P180" s="8"/>
      <c r="Q180" s="8"/>
      <c r="R180" s="5"/>
      <c r="S180" s="5"/>
      <c r="T180" s="3"/>
      <c r="U180" s="3"/>
      <c r="V180" s="3"/>
      <c r="W180" s="3"/>
      <c r="X180" s="5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</row>
    <row r="181" spans="1:75" s="36" customFormat="1">
      <c r="A181" s="5"/>
      <c r="B181" s="5"/>
      <c r="C181" s="5"/>
      <c r="D181" s="39"/>
      <c r="E181" s="39"/>
      <c r="F181" s="39"/>
      <c r="G181" s="5"/>
      <c r="H181" s="132"/>
      <c r="I181" s="3"/>
      <c r="J181" s="3"/>
      <c r="K181" s="3"/>
      <c r="L181" s="3" t="str">
        <f>IFERROR(VLOOKUP(tblSOW9[[#This Row],[Employee name ]],[32]Parameters!CP:CS,4,0),"")</f>
        <v/>
      </c>
      <c r="M181" s="85"/>
      <c r="N181" s="112"/>
      <c r="O181" s="3"/>
      <c r="P181" s="8"/>
      <c r="Q181" s="8"/>
      <c r="R181" s="5"/>
      <c r="S181" s="5"/>
      <c r="T181" s="3"/>
      <c r="U181" s="3"/>
      <c r="V181" s="3"/>
      <c r="W181" s="3"/>
      <c r="X181" s="5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</row>
    <row r="182" spans="1:75" s="36" customFormat="1">
      <c r="A182" s="5"/>
      <c r="B182" s="5"/>
      <c r="C182" s="5"/>
      <c r="D182" s="39"/>
      <c r="E182" s="39"/>
      <c r="F182" s="39"/>
      <c r="G182" s="5"/>
      <c r="H182" s="132"/>
      <c r="I182" s="3"/>
      <c r="J182" s="3"/>
      <c r="K182" s="3"/>
      <c r="L182" s="3" t="str">
        <f>IFERROR(VLOOKUP(tblSOW9[[#This Row],[Employee name ]],[32]Parameters!CP:CS,4,0),"")</f>
        <v/>
      </c>
      <c r="M182" s="85"/>
      <c r="N182" s="112"/>
      <c r="O182" s="3"/>
      <c r="P182" s="8"/>
      <c r="Q182" s="8"/>
      <c r="R182" s="5"/>
      <c r="S182" s="5"/>
      <c r="T182" s="3"/>
      <c r="U182" s="3"/>
      <c r="V182" s="3"/>
      <c r="W182" s="3"/>
      <c r="X182" s="5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</row>
    <row r="183" spans="1:75" s="36" customFormat="1">
      <c r="A183" s="5"/>
      <c r="B183" s="5"/>
      <c r="C183" s="5"/>
      <c r="D183" s="39"/>
      <c r="E183" s="39"/>
      <c r="F183" s="39"/>
      <c r="G183" s="5"/>
      <c r="H183" s="132"/>
      <c r="I183" s="3"/>
      <c r="J183" s="3"/>
      <c r="K183" s="3"/>
      <c r="L183" s="3" t="str">
        <f>IFERROR(VLOOKUP(tblSOW9[[#This Row],[Employee name ]],[32]Parameters!CP:CS,4,0),"")</f>
        <v/>
      </c>
      <c r="M183" s="4"/>
      <c r="N183" s="5"/>
      <c r="O183" s="3"/>
      <c r="P183" s="8"/>
      <c r="Q183" s="8"/>
      <c r="R183" s="5"/>
      <c r="S183" s="5"/>
      <c r="T183" s="3"/>
      <c r="U183" s="3"/>
      <c r="V183" s="3"/>
      <c r="W183" s="3"/>
      <c r="X183" s="5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</row>
    <row r="184" spans="1:75" s="36" customFormat="1">
      <c r="A184" s="5"/>
      <c r="B184" s="5"/>
      <c r="C184" s="5"/>
      <c r="D184" s="39"/>
      <c r="E184" s="39"/>
      <c r="F184" s="39"/>
      <c r="G184" s="5"/>
      <c r="H184" s="132"/>
      <c r="I184" s="3"/>
      <c r="J184" s="3"/>
      <c r="K184" s="3"/>
      <c r="L184" s="3" t="str">
        <f>IFERROR(VLOOKUP(tblSOW9[[#This Row],[Employee name ]],[32]Parameters!CP:CS,4,0),"")</f>
        <v/>
      </c>
      <c r="M184" s="4"/>
      <c r="N184" s="5"/>
      <c r="O184" s="3"/>
      <c r="P184" s="8"/>
      <c r="Q184" s="8"/>
      <c r="R184" s="5"/>
      <c r="S184" s="5"/>
      <c r="T184" s="3"/>
      <c r="U184" s="3"/>
      <c r="V184" s="3"/>
      <c r="W184" s="3"/>
      <c r="X184" s="5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</row>
    <row r="185" spans="1:75" s="36" customFormat="1">
      <c r="A185" s="5"/>
      <c r="B185" s="5"/>
      <c r="C185" s="5"/>
      <c r="D185" s="39"/>
      <c r="E185" s="39"/>
      <c r="F185" s="39"/>
      <c r="G185" s="5"/>
      <c r="H185" s="132"/>
      <c r="I185" s="3"/>
      <c r="J185" s="3"/>
      <c r="K185" s="3"/>
      <c r="L185" s="3" t="str">
        <f>IFERROR(VLOOKUP(tblSOW9[[#This Row],[Employee name ]],[32]Parameters!CP:CS,4,0),"")</f>
        <v/>
      </c>
      <c r="M185" s="85"/>
      <c r="N185" s="5"/>
      <c r="O185" s="3"/>
      <c r="P185" s="8"/>
      <c r="Q185" s="8"/>
      <c r="R185" s="5"/>
      <c r="S185" s="5"/>
      <c r="T185" s="3"/>
      <c r="U185" s="3"/>
      <c r="V185" s="3"/>
      <c r="W185" s="3"/>
      <c r="X185" s="5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</row>
    <row r="186" spans="1:75" s="36" customFormat="1">
      <c r="A186" s="5"/>
      <c r="B186" s="5"/>
      <c r="C186" s="5"/>
      <c r="D186" s="39"/>
      <c r="E186" s="39"/>
      <c r="F186" s="39"/>
      <c r="G186" s="5"/>
      <c r="H186" s="132"/>
      <c r="I186" s="3"/>
      <c r="J186" s="3"/>
      <c r="K186" s="3"/>
      <c r="L186" s="3" t="str">
        <f>IFERROR(VLOOKUP(tblSOW9[[#This Row],[Employee name ]],[32]Parameters!CP:CS,4,0),"")</f>
        <v/>
      </c>
      <c r="M186" s="85"/>
      <c r="N186" s="5"/>
      <c r="O186" s="3"/>
      <c r="P186" s="8"/>
      <c r="Q186" s="8"/>
      <c r="R186" s="5"/>
      <c r="S186" s="5"/>
      <c r="T186" s="3"/>
      <c r="U186" s="116"/>
      <c r="V186" s="3"/>
      <c r="W186" s="3"/>
      <c r="X186" s="5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</row>
    <row r="187" spans="1:75" s="36" customFormat="1">
      <c r="A187" s="5"/>
      <c r="B187" s="5"/>
      <c r="C187" s="5"/>
      <c r="D187" s="39"/>
      <c r="E187" s="39"/>
      <c r="F187" s="39"/>
      <c r="G187" s="5"/>
      <c r="H187" s="132"/>
      <c r="I187" s="3"/>
      <c r="J187" s="3"/>
      <c r="K187" s="3"/>
      <c r="L187" s="3" t="str">
        <f>IFERROR(VLOOKUP(tblSOW9[[#This Row],[Employee name ]],[32]Parameters!CP:CS,4,0),"")</f>
        <v/>
      </c>
      <c r="M187" s="85"/>
      <c r="N187" s="5"/>
      <c r="O187" s="3"/>
      <c r="P187" s="8"/>
      <c r="Q187" s="8"/>
      <c r="R187" s="5"/>
      <c r="S187" s="5"/>
      <c r="T187" s="3"/>
      <c r="U187" s="3"/>
      <c r="V187" s="3"/>
      <c r="W187" s="3"/>
      <c r="X187" s="5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</row>
    <row r="188" spans="1:75" s="36" customFormat="1">
      <c r="A188" s="5"/>
      <c r="B188" s="5"/>
      <c r="C188" s="5"/>
      <c r="D188" s="39"/>
      <c r="E188" s="39"/>
      <c r="F188" s="39"/>
      <c r="G188" s="5"/>
      <c r="H188" s="132"/>
      <c r="I188" s="3"/>
      <c r="J188" s="3"/>
      <c r="K188" s="3"/>
      <c r="L188" s="3" t="str">
        <f>IFERROR(VLOOKUP(tblSOW9[[#This Row],[Employee name ]],[32]Parameters!CP:CS,4,0),"")</f>
        <v/>
      </c>
      <c r="M188" s="85"/>
      <c r="N188" s="5"/>
      <c r="O188" s="3"/>
      <c r="P188" s="8"/>
      <c r="Q188" s="8"/>
      <c r="R188" s="5"/>
      <c r="S188" s="5"/>
      <c r="T188" s="3"/>
      <c r="U188" s="116"/>
      <c r="V188" s="3"/>
      <c r="W188" s="3"/>
      <c r="X188" s="5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</row>
    <row r="189" spans="1:75" s="36" customFormat="1">
      <c r="A189" s="5"/>
      <c r="B189" s="5"/>
      <c r="C189" s="5"/>
      <c r="D189" s="39"/>
      <c r="E189" s="39"/>
      <c r="F189" s="39"/>
      <c r="G189" s="5"/>
      <c r="H189" s="132"/>
      <c r="I189" s="3"/>
      <c r="J189" s="3"/>
      <c r="K189" s="3"/>
      <c r="L189" s="3" t="str">
        <f>IFERROR(VLOOKUP(tblSOW9[[#This Row],[Employee name ]],[32]Parameters!CP:CS,4,0),"")</f>
        <v/>
      </c>
      <c r="M189" s="85"/>
      <c r="N189" s="5"/>
      <c r="O189" s="3"/>
      <c r="P189" s="8"/>
      <c r="Q189" s="8"/>
      <c r="R189" s="5"/>
      <c r="S189" s="5"/>
      <c r="T189" s="3"/>
      <c r="U189" s="3"/>
      <c r="V189" s="3"/>
      <c r="W189" s="3"/>
      <c r="X189" s="5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</row>
    <row r="190" spans="1:75" s="36" customFormat="1">
      <c r="A190" s="5"/>
      <c r="B190" s="5"/>
      <c r="C190" s="5"/>
      <c r="D190" s="39"/>
      <c r="E190" s="39"/>
      <c r="F190" s="39"/>
      <c r="G190" s="5"/>
      <c r="H190" s="132"/>
      <c r="I190" s="3"/>
      <c r="J190" s="3"/>
      <c r="K190" s="3"/>
      <c r="L190" s="3" t="str">
        <f>IFERROR(VLOOKUP(tblSOW9[[#This Row],[Employee name ]],[32]Parameters!CP:CS,4,0),"")</f>
        <v/>
      </c>
      <c r="M190" s="85"/>
      <c r="N190" s="5"/>
      <c r="O190" s="3"/>
      <c r="P190" s="8"/>
      <c r="Q190" s="8"/>
      <c r="R190" s="5"/>
      <c r="S190" s="5"/>
      <c r="T190" s="3"/>
      <c r="U190" s="116"/>
      <c r="V190" s="3"/>
      <c r="W190" s="3"/>
      <c r="X190" s="5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</row>
    <row r="191" spans="1:75" s="36" customFormat="1">
      <c r="A191" s="5"/>
      <c r="B191" s="5"/>
      <c r="C191" s="5"/>
      <c r="D191" s="39"/>
      <c r="E191" s="39"/>
      <c r="F191" s="39"/>
      <c r="G191" s="5"/>
      <c r="H191" s="132"/>
      <c r="I191" s="3"/>
      <c r="J191" s="3"/>
      <c r="K191" s="3"/>
      <c r="L191" s="3" t="str">
        <f>IFERROR(VLOOKUP(tblSOW9[[#This Row],[Employee name ]],[32]Parameters!CP:CS,4,0),"")</f>
        <v/>
      </c>
      <c r="M191" s="85"/>
      <c r="N191" s="5"/>
      <c r="O191" s="3"/>
      <c r="P191" s="8"/>
      <c r="Q191" s="8"/>
      <c r="R191" s="5"/>
      <c r="S191" s="5"/>
      <c r="T191" s="3"/>
      <c r="U191" s="3"/>
      <c r="V191" s="3"/>
      <c r="W191" s="3"/>
      <c r="X191" s="5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</row>
    <row r="192" spans="1:75" s="36" customFormat="1">
      <c r="A192" s="5"/>
      <c r="B192" s="5"/>
      <c r="C192" s="5"/>
      <c r="D192" s="39"/>
      <c r="E192" s="39"/>
      <c r="F192" s="39"/>
      <c r="G192" s="5"/>
      <c r="H192" s="132"/>
      <c r="I192" s="3"/>
      <c r="J192" s="3"/>
      <c r="K192" s="3"/>
      <c r="L192" s="3" t="str">
        <f>IFERROR(VLOOKUP(tblSOW9[[#This Row],[Employee name ]],[32]Parameters!CP:CS,4,0),"")</f>
        <v/>
      </c>
      <c r="M192" s="85"/>
      <c r="N192" s="5"/>
      <c r="O192" s="3"/>
      <c r="P192" s="8"/>
      <c r="Q192" s="8"/>
      <c r="R192" s="5"/>
      <c r="S192" s="5"/>
      <c r="T192" s="3"/>
      <c r="U192" s="116"/>
      <c r="V192" s="3"/>
      <c r="W192" s="3"/>
      <c r="X192" s="5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</row>
    <row r="193" spans="1:75" s="36" customFormat="1">
      <c r="A193" s="5"/>
      <c r="B193" s="5"/>
      <c r="C193" s="5"/>
      <c r="D193" s="39"/>
      <c r="E193" s="39"/>
      <c r="F193" s="39"/>
      <c r="G193" s="5"/>
      <c r="H193" s="132"/>
      <c r="I193" s="3"/>
      <c r="J193" s="3"/>
      <c r="K193" s="3"/>
      <c r="L193" s="3" t="str">
        <f>IFERROR(VLOOKUP(tblSOW9[[#This Row],[Employee name ]],[32]Parameters!CP:CS,4,0),"")</f>
        <v/>
      </c>
      <c r="M193" s="85"/>
      <c r="N193" s="5"/>
      <c r="O193" s="3"/>
      <c r="P193" s="8"/>
      <c r="Q193" s="8"/>
      <c r="R193" s="5"/>
      <c r="S193" s="5"/>
      <c r="T193" s="3"/>
      <c r="U193" s="3"/>
      <c r="V193" s="3"/>
      <c r="W193" s="3"/>
      <c r="X193" s="5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</row>
    <row r="194" spans="1:75" s="36" customFormat="1">
      <c r="A194" s="5"/>
      <c r="B194" s="5"/>
      <c r="C194" s="5"/>
      <c r="D194" s="39"/>
      <c r="E194" s="39"/>
      <c r="F194" s="39"/>
      <c r="G194" s="5"/>
      <c r="H194" s="132"/>
      <c r="I194" s="3"/>
      <c r="J194" s="3"/>
      <c r="K194" s="3"/>
      <c r="L194" s="3" t="str">
        <f>IFERROR(VLOOKUP(tblSOW9[[#This Row],[Employee name ]],[32]Parameters!CP:CS,4,0),"")</f>
        <v/>
      </c>
      <c r="M194" s="85"/>
      <c r="N194" s="5"/>
      <c r="O194" s="3"/>
      <c r="P194" s="8"/>
      <c r="Q194" s="8"/>
      <c r="R194" s="5"/>
      <c r="S194" s="5"/>
      <c r="T194" s="3"/>
      <c r="U194" s="116"/>
      <c r="V194" s="3"/>
      <c r="W194" s="3"/>
      <c r="X194" s="5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</row>
    <row r="195" spans="1:75" s="36" customFormat="1">
      <c r="A195" s="5"/>
      <c r="B195" s="5"/>
      <c r="C195" s="5"/>
      <c r="D195" s="39"/>
      <c r="E195" s="39"/>
      <c r="F195" s="39"/>
      <c r="G195" s="5"/>
      <c r="H195" s="132"/>
      <c r="I195" s="3"/>
      <c r="J195" s="3"/>
      <c r="K195" s="3"/>
      <c r="L195" s="3" t="str">
        <f>IFERROR(VLOOKUP(tblSOW9[[#This Row],[Employee name ]],[32]Parameters!CP:CS,4,0),"")</f>
        <v/>
      </c>
      <c r="M195" s="85"/>
      <c r="N195" s="5"/>
      <c r="O195" s="3"/>
      <c r="P195" s="8"/>
      <c r="Q195" s="8"/>
      <c r="R195" s="5"/>
      <c r="S195" s="5"/>
      <c r="T195" s="3"/>
      <c r="U195" s="3"/>
      <c r="V195" s="3"/>
      <c r="W195" s="3"/>
      <c r="X195" s="5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</row>
    <row r="196" spans="1:75" s="36" customFormat="1">
      <c r="A196" s="5"/>
      <c r="B196" s="5"/>
      <c r="C196" s="5"/>
      <c r="D196" s="39"/>
      <c r="E196" s="39"/>
      <c r="F196" s="39"/>
      <c r="G196" s="5"/>
      <c r="H196" s="132"/>
      <c r="I196" s="3"/>
      <c r="J196" s="3"/>
      <c r="K196" s="3"/>
      <c r="L196" s="3" t="str">
        <f>IFERROR(VLOOKUP(tblSOW9[[#This Row],[Employee name ]],[32]Parameters!CP:CS,4,0),"")</f>
        <v/>
      </c>
      <c r="M196" s="85"/>
      <c r="N196" s="5"/>
      <c r="O196" s="3"/>
      <c r="P196" s="8"/>
      <c r="Q196" s="8"/>
      <c r="R196" s="5"/>
      <c r="S196" s="5"/>
      <c r="T196" s="3"/>
      <c r="U196" s="116"/>
      <c r="V196" s="3"/>
      <c r="W196" s="3"/>
      <c r="X196" s="5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</row>
    <row r="197" spans="1:75" s="36" customFormat="1">
      <c r="A197" s="5"/>
      <c r="B197" s="5"/>
      <c r="C197" s="5"/>
      <c r="D197" s="39"/>
      <c r="E197" s="39"/>
      <c r="F197" s="39"/>
      <c r="G197" s="5"/>
      <c r="H197" s="132"/>
      <c r="I197" s="3"/>
      <c r="J197" s="3"/>
      <c r="K197" s="3"/>
      <c r="L197" s="3" t="str">
        <f>IFERROR(VLOOKUP(tblSOW9[[#This Row],[Employee name ]],[32]Parameters!CP:CS,4,0),"")</f>
        <v/>
      </c>
      <c r="M197" s="85"/>
      <c r="N197" s="5"/>
      <c r="O197" s="3"/>
      <c r="P197" s="8"/>
      <c r="Q197" s="8"/>
      <c r="R197" s="5"/>
      <c r="S197" s="5"/>
      <c r="T197" s="3"/>
      <c r="U197" s="3"/>
      <c r="V197" s="3"/>
      <c r="W197" s="3"/>
      <c r="X197" s="5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</row>
    <row r="198" spans="1:75" s="36" customFormat="1">
      <c r="A198" s="5"/>
      <c r="B198" s="5"/>
      <c r="C198" s="5"/>
      <c r="D198" s="39"/>
      <c r="E198" s="39"/>
      <c r="F198" s="39"/>
      <c r="G198" s="5"/>
      <c r="H198" s="132"/>
      <c r="I198" s="3"/>
      <c r="J198" s="3"/>
      <c r="K198" s="3"/>
      <c r="L198" s="3" t="str">
        <f>IFERROR(VLOOKUP(tblSOW9[[#This Row],[Employee name ]],[32]Parameters!CP:CS,4,0),"")</f>
        <v/>
      </c>
      <c r="M198" s="85"/>
      <c r="N198" s="5"/>
      <c r="O198" s="3"/>
      <c r="P198" s="8"/>
      <c r="Q198" s="8"/>
      <c r="R198" s="5"/>
      <c r="S198" s="5"/>
      <c r="T198" s="3"/>
      <c r="U198" s="116"/>
      <c r="V198" s="3"/>
      <c r="W198" s="3"/>
      <c r="X198" s="5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</row>
    <row r="199" spans="1:75" s="36" customFormat="1">
      <c r="A199" s="5"/>
      <c r="B199" s="5"/>
      <c r="C199" s="5"/>
      <c r="D199" s="39"/>
      <c r="E199" s="39"/>
      <c r="F199" s="39"/>
      <c r="G199" s="5"/>
      <c r="H199" s="132"/>
      <c r="I199" s="3"/>
      <c r="J199" s="3"/>
      <c r="K199" s="3"/>
      <c r="L199" s="3" t="str">
        <f>IFERROR(VLOOKUP(tblSOW9[[#This Row],[Employee name ]],[32]Parameters!CP:CS,4,0),"")</f>
        <v/>
      </c>
      <c r="M199" s="85"/>
      <c r="N199" s="5"/>
      <c r="O199" s="3"/>
      <c r="P199" s="8"/>
      <c r="Q199" s="8"/>
      <c r="R199" s="5"/>
      <c r="S199" s="5"/>
      <c r="T199" s="3"/>
      <c r="U199" s="3"/>
      <c r="V199" s="3"/>
      <c r="W199" s="3"/>
      <c r="X199" s="5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</row>
    <row r="200" spans="1:75" s="36" customFormat="1">
      <c r="A200" s="5"/>
      <c r="B200" s="5"/>
      <c r="C200" s="5"/>
      <c r="D200" s="39"/>
      <c r="E200" s="39"/>
      <c r="F200" s="39"/>
      <c r="G200" s="5"/>
      <c r="H200" s="132"/>
      <c r="I200" s="3"/>
      <c r="J200" s="3"/>
      <c r="K200" s="3"/>
      <c r="L200" s="3" t="str">
        <f>IFERROR(VLOOKUP(tblSOW9[[#This Row],[Employee name ]],[32]Parameters!CP:CS,4,0),"")</f>
        <v/>
      </c>
      <c r="M200" s="85"/>
      <c r="N200" s="5"/>
      <c r="O200" s="3"/>
      <c r="P200" s="8"/>
      <c r="Q200" s="8"/>
      <c r="R200" s="5"/>
      <c r="S200" s="5"/>
      <c r="T200" s="3"/>
      <c r="U200" s="116"/>
      <c r="V200" s="3"/>
      <c r="W200" s="3"/>
      <c r="X200" s="5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</row>
    <row r="201" spans="1:75" s="36" customFormat="1">
      <c r="A201" s="5"/>
      <c r="B201" s="5"/>
      <c r="C201" s="5"/>
      <c r="D201" s="39"/>
      <c r="E201" s="39"/>
      <c r="F201" s="39"/>
      <c r="G201" s="5"/>
      <c r="H201" s="132"/>
      <c r="I201" s="3"/>
      <c r="J201" s="3"/>
      <c r="K201" s="3"/>
      <c r="L201" s="3" t="str">
        <f>IFERROR(VLOOKUP(tblSOW9[[#This Row],[Employee name ]],[32]Parameters!CP:CS,4,0),"")</f>
        <v/>
      </c>
      <c r="M201" s="85"/>
      <c r="N201" s="5"/>
      <c r="O201" s="3"/>
      <c r="P201" s="8"/>
      <c r="Q201" s="8"/>
      <c r="R201" s="5"/>
      <c r="S201" s="5"/>
      <c r="T201" s="3"/>
      <c r="U201" s="3"/>
      <c r="V201" s="3"/>
      <c r="W201" s="3"/>
      <c r="X201" s="5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</row>
    <row r="202" spans="1:75" s="36" customFormat="1">
      <c r="A202" s="5"/>
      <c r="B202" s="5"/>
      <c r="C202" s="5"/>
      <c r="D202" s="39"/>
      <c r="E202" s="39"/>
      <c r="F202" s="39"/>
      <c r="G202" s="5"/>
      <c r="H202" s="132"/>
      <c r="I202" s="3"/>
      <c r="J202" s="3"/>
      <c r="K202" s="3"/>
      <c r="L202" s="3" t="str">
        <f>IFERROR(VLOOKUP(tblSOW9[[#This Row],[Employee name ]],[32]Parameters!CP:CS,4,0),"")</f>
        <v/>
      </c>
      <c r="M202" s="85"/>
      <c r="N202" s="5"/>
      <c r="O202" s="3"/>
      <c r="P202" s="8"/>
      <c r="Q202" s="8"/>
      <c r="R202" s="5"/>
      <c r="S202" s="5"/>
      <c r="T202" s="3"/>
      <c r="U202" s="116"/>
      <c r="V202" s="3"/>
      <c r="W202" s="3"/>
      <c r="X202" s="5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</row>
    <row r="203" spans="1:75" s="36" customFormat="1">
      <c r="A203" s="5"/>
      <c r="B203" s="5"/>
      <c r="C203" s="5"/>
      <c r="D203" s="39"/>
      <c r="E203" s="39"/>
      <c r="F203" s="39"/>
      <c r="G203" s="5"/>
      <c r="H203" s="132"/>
      <c r="I203" s="3"/>
      <c r="J203" s="3"/>
      <c r="K203" s="3"/>
      <c r="L203" s="3" t="str">
        <f>IFERROR(VLOOKUP(tblSOW9[[#This Row],[Employee name ]],[32]Parameters!CP:CS,4,0),"")</f>
        <v/>
      </c>
      <c r="M203" s="85"/>
      <c r="N203" s="5"/>
      <c r="O203" s="3"/>
      <c r="P203" s="8"/>
      <c r="Q203" s="8"/>
      <c r="R203" s="5"/>
      <c r="S203" s="5"/>
      <c r="T203" s="3"/>
      <c r="U203" s="3"/>
      <c r="V203" s="3"/>
      <c r="W203" s="3"/>
      <c r="X203" s="5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</row>
    <row r="204" spans="1:75" s="36" customFormat="1">
      <c r="A204" s="5"/>
      <c r="B204" s="5"/>
      <c r="C204" s="5"/>
      <c r="D204" s="39"/>
      <c r="E204" s="39"/>
      <c r="F204" s="39"/>
      <c r="G204" s="5"/>
      <c r="H204" s="132"/>
      <c r="I204" s="3"/>
      <c r="J204" s="3"/>
      <c r="K204" s="3"/>
      <c r="L204" s="3" t="str">
        <f>IFERROR(VLOOKUP(tblSOW9[[#This Row],[Employee name ]],[32]Parameters!CP:CS,4,0),"")</f>
        <v/>
      </c>
      <c r="M204" s="85"/>
      <c r="N204" s="5"/>
      <c r="O204" s="3"/>
      <c r="P204" s="8"/>
      <c r="Q204" s="8"/>
      <c r="R204" s="5"/>
      <c r="S204" s="5"/>
      <c r="T204" s="3"/>
      <c r="U204" s="116"/>
      <c r="V204" s="3"/>
      <c r="W204" s="3"/>
      <c r="X204" s="5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</row>
    <row r="205" spans="1:75" s="36" customFormat="1">
      <c r="A205" s="5"/>
      <c r="B205" s="5"/>
      <c r="C205" s="5"/>
      <c r="D205" s="39"/>
      <c r="E205" s="39"/>
      <c r="F205" s="39"/>
      <c r="G205" s="5"/>
      <c r="H205" s="132"/>
      <c r="I205" s="3"/>
      <c r="J205" s="3"/>
      <c r="K205" s="3"/>
      <c r="L205" s="3" t="str">
        <f>IFERROR(VLOOKUP(tblSOW9[[#This Row],[Employee name ]],[32]Parameters!CP:CS,4,0),"")</f>
        <v/>
      </c>
      <c r="M205" s="85"/>
      <c r="N205" s="5"/>
      <c r="O205" s="3"/>
      <c r="P205" s="8"/>
      <c r="Q205" s="8"/>
      <c r="R205" s="5"/>
      <c r="S205" s="5"/>
      <c r="T205" s="3"/>
      <c r="U205" s="3"/>
      <c r="V205" s="3"/>
      <c r="W205" s="3"/>
      <c r="X205" s="5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</row>
    <row r="206" spans="1:75" s="36" customFormat="1">
      <c r="A206" s="5"/>
      <c r="B206" s="5"/>
      <c r="C206" s="5"/>
      <c r="D206" s="39"/>
      <c r="E206" s="39"/>
      <c r="F206" s="39"/>
      <c r="G206" s="5"/>
      <c r="H206" s="132"/>
      <c r="I206" s="3"/>
      <c r="J206" s="3"/>
      <c r="K206" s="3"/>
      <c r="L206" s="3" t="str">
        <f>IFERROR(VLOOKUP(tblSOW9[[#This Row],[Employee name ]],[32]Parameters!CP:CS,4,0),"")</f>
        <v/>
      </c>
      <c r="M206" s="85"/>
      <c r="N206" s="5"/>
      <c r="O206" s="3"/>
      <c r="P206" s="8"/>
      <c r="Q206" s="8"/>
      <c r="R206" s="5"/>
      <c r="S206" s="5"/>
      <c r="T206" s="3"/>
      <c r="U206" s="116"/>
      <c r="V206" s="3"/>
      <c r="W206" s="3"/>
      <c r="X206" s="5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</row>
    <row r="207" spans="1:75" s="36" customFormat="1">
      <c r="A207" s="5"/>
      <c r="B207" s="5"/>
      <c r="C207" s="5"/>
      <c r="D207" s="39"/>
      <c r="E207" s="39"/>
      <c r="F207" s="39"/>
      <c r="G207" s="5"/>
      <c r="H207" s="132"/>
      <c r="I207" s="3"/>
      <c r="J207" s="3"/>
      <c r="K207" s="3"/>
      <c r="L207" s="3" t="str">
        <f>IFERROR(VLOOKUP(tblSOW9[[#This Row],[Employee name ]],[32]Parameters!CP:CS,4,0),"")</f>
        <v/>
      </c>
      <c r="M207" s="85"/>
      <c r="N207" s="5"/>
      <c r="O207" s="3"/>
      <c r="P207" s="8"/>
      <c r="Q207" s="8"/>
      <c r="R207" s="5"/>
      <c r="S207" s="5"/>
      <c r="T207" s="3"/>
      <c r="U207" s="3"/>
      <c r="V207" s="3"/>
      <c r="W207" s="3"/>
      <c r="X207" s="5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</row>
    <row r="208" spans="1:75" s="36" customFormat="1">
      <c r="A208" s="5"/>
      <c r="B208" s="5"/>
      <c r="C208" s="5"/>
      <c r="D208" s="39"/>
      <c r="E208" s="39"/>
      <c r="F208" s="39"/>
      <c r="G208" s="5"/>
      <c r="H208" s="132"/>
      <c r="I208" s="3"/>
      <c r="J208" s="3"/>
      <c r="K208" s="3"/>
      <c r="L208" s="3" t="str">
        <f>IFERROR(VLOOKUP(tblSOW9[[#This Row],[Employee name ]],[32]Parameters!CP:CS,4,0),"")</f>
        <v/>
      </c>
      <c r="M208" s="85"/>
      <c r="N208" s="5"/>
      <c r="O208" s="3"/>
      <c r="P208" s="8"/>
      <c r="Q208" s="8"/>
      <c r="R208" s="5"/>
      <c r="S208" s="5"/>
      <c r="T208" s="3"/>
      <c r="U208" s="116"/>
      <c r="V208" s="3"/>
      <c r="W208" s="3"/>
      <c r="X208" s="5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</row>
    <row r="209" spans="1:75" s="36" customFormat="1">
      <c r="A209" s="5"/>
      <c r="B209" s="5"/>
      <c r="C209" s="5"/>
      <c r="D209" s="39"/>
      <c r="E209" s="39"/>
      <c r="F209" s="39"/>
      <c r="G209" s="5"/>
      <c r="H209" s="132"/>
      <c r="I209" s="3"/>
      <c r="J209" s="3"/>
      <c r="K209" s="3"/>
      <c r="L209" s="3" t="str">
        <f>IFERROR(VLOOKUP(tblSOW9[[#This Row],[Employee name ]],[32]Parameters!CP:CS,4,0),"")</f>
        <v/>
      </c>
      <c r="M209" s="85"/>
      <c r="N209" s="5"/>
      <c r="O209" s="3"/>
      <c r="P209" s="8"/>
      <c r="Q209" s="8"/>
      <c r="R209" s="5"/>
      <c r="S209" s="5"/>
      <c r="T209" s="3"/>
      <c r="U209" s="3"/>
      <c r="V209" s="3"/>
      <c r="W209" s="3"/>
      <c r="X209" s="5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</row>
    <row r="210" spans="1:75" s="36" customFormat="1">
      <c r="A210" s="5"/>
      <c r="B210" s="5"/>
      <c r="C210" s="5"/>
      <c r="D210" s="39"/>
      <c r="E210" s="39"/>
      <c r="F210" s="39"/>
      <c r="G210" s="5"/>
      <c r="H210" s="132"/>
      <c r="I210" s="3"/>
      <c r="J210" s="3"/>
      <c r="K210" s="3"/>
      <c r="L210" s="3" t="str">
        <f>IFERROR(VLOOKUP(tblSOW9[[#This Row],[Employee name ]],[32]Parameters!CP:CS,4,0),"")</f>
        <v/>
      </c>
      <c r="M210" s="85"/>
      <c r="N210" s="5"/>
      <c r="O210" s="3"/>
      <c r="P210" s="8"/>
      <c r="Q210" s="8"/>
      <c r="R210" s="5"/>
      <c r="S210" s="5"/>
      <c r="T210" s="3"/>
      <c r="U210" s="3"/>
      <c r="V210" s="3"/>
      <c r="W210" s="3"/>
      <c r="X210" s="5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</row>
    <row r="211" spans="1:75" s="36" customFormat="1">
      <c r="A211" s="5"/>
      <c r="B211" s="5"/>
      <c r="C211" s="5"/>
      <c r="D211" s="39"/>
      <c r="E211" s="39"/>
      <c r="F211" s="39"/>
      <c r="G211" s="5"/>
      <c r="H211" s="132"/>
      <c r="I211" s="3"/>
      <c r="J211" s="3"/>
      <c r="K211" s="3"/>
      <c r="L211" s="3" t="str">
        <f>IFERROR(VLOOKUP(tblSOW9[[#This Row],[Employee name ]],[32]Parameters!CP:CS,4,0),"")</f>
        <v/>
      </c>
      <c r="M211" s="85"/>
      <c r="N211" s="5"/>
      <c r="O211" s="3"/>
      <c r="P211" s="8"/>
      <c r="Q211" s="8"/>
      <c r="R211" s="5"/>
      <c r="S211" s="5"/>
      <c r="T211" s="3"/>
      <c r="U211" s="116"/>
      <c r="V211" s="3"/>
      <c r="W211" s="3"/>
      <c r="X211" s="5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</row>
    <row r="212" spans="1:75" s="36" customFormat="1">
      <c r="A212" s="5"/>
      <c r="B212" s="5"/>
      <c r="C212" s="5"/>
      <c r="D212" s="39"/>
      <c r="E212" s="39"/>
      <c r="F212" s="39"/>
      <c r="G212" s="5"/>
      <c r="H212" s="132"/>
      <c r="I212" s="3"/>
      <c r="J212" s="3"/>
      <c r="K212" s="3"/>
      <c r="L212" s="3" t="str">
        <f>IFERROR(VLOOKUP(tblSOW9[[#This Row],[Employee name ]],[32]Parameters!CP:CS,4,0),"")</f>
        <v/>
      </c>
      <c r="M212" s="85"/>
      <c r="N212" s="5"/>
      <c r="O212" s="3"/>
      <c r="P212" s="8"/>
      <c r="Q212" s="8"/>
      <c r="R212" s="5"/>
      <c r="S212" s="5"/>
      <c r="T212" s="3"/>
      <c r="U212" s="3"/>
      <c r="V212" s="3"/>
      <c r="W212" s="3"/>
      <c r="X212" s="5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</row>
    <row r="213" spans="1:75" s="36" customFormat="1">
      <c r="A213" s="5"/>
      <c r="B213" s="5"/>
      <c r="C213" s="5"/>
      <c r="D213" s="39"/>
      <c r="E213" s="39"/>
      <c r="F213" s="39"/>
      <c r="G213" s="5"/>
      <c r="H213" s="132"/>
      <c r="I213" s="3"/>
      <c r="J213" s="3"/>
      <c r="K213" s="3"/>
      <c r="L213" s="3" t="str">
        <f>IFERROR(VLOOKUP(tblSOW9[[#This Row],[Employee name ]],[32]Parameters!CP:CS,4,0),"")</f>
        <v/>
      </c>
      <c r="M213" s="85"/>
      <c r="N213" s="5"/>
      <c r="O213" s="3"/>
      <c r="P213" s="8"/>
      <c r="Q213" s="8"/>
      <c r="R213" s="5"/>
      <c r="S213" s="5"/>
      <c r="T213" s="3"/>
      <c r="U213" s="116"/>
      <c r="V213" s="3"/>
      <c r="W213" s="3"/>
      <c r="X213" s="5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3"/>
      <c r="BW213" s="43"/>
    </row>
    <row r="214" spans="1:75" s="36" customFormat="1">
      <c r="A214" s="5"/>
      <c r="B214" s="5"/>
      <c r="C214" s="5"/>
      <c r="D214" s="39"/>
      <c r="E214" s="39"/>
      <c r="F214" s="39"/>
      <c r="G214" s="5"/>
      <c r="H214" s="132"/>
      <c r="I214" s="3"/>
      <c r="J214" s="3"/>
      <c r="K214" s="3"/>
      <c r="L214" s="3" t="str">
        <f>IFERROR(VLOOKUP(tblSOW9[[#This Row],[Employee name ]],[32]Parameters!CP:CS,4,0),"")</f>
        <v/>
      </c>
      <c r="M214" s="85"/>
      <c r="N214" s="5"/>
      <c r="O214" s="3"/>
      <c r="P214" s="8"/>
      <c r="Q214" s="8"/>
      <c r="R214" s="5"/>
      <c r="S214" s="5"/>
      <c r="T214" s="3"/>
      <c r="U214" s="3"/>
      <c r="V214" s="3"/>
      <c r="W214" s="3"/>
      <c r="X214" s="5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  <c r="BQ214" s="43"/>
      <c r="BR214" s="43"/>
      <c r="BS214" s="43"/>
      <c r="BT214" s="43"/>
      <c r="BU214" s="43"/>
      <c r="BV214" s="43"/>
      <c r="BW214" s="43"/>
    </row>
    <row r="215" spans="1:75" s="36" customFormat="1">
      <c r="A215" s="5"/>
      <c r="B215" s="5"/>
      <c r="C215" s="5"/>
      <c r="D215" s="39"/>
      <c r="E215" s="39"/>
      <c r="F215" s="39"/>
      <c r="G215" s="5"/>
      <c r="H215" s="132"/>
      <c r="I215" s="3"/>
      <c r="J215" s="3"/>
      <c r="K215" s="3"/>
      <c r="L215" s="3" t="str">
        <f>IFERROR(VLOOKUP(tblSOW9[[#This Row],[Employee name ]],[32]Parameters!CP:CS,4,0),"")</f>
        <v/>
      </c>
      <c r="M215" s="85"/>
      <c r="N215" s="5"/>
      <c r="O215" s="3"/>
      <c r="P215" s="8"/>
      <c r="Q215" s="8"/>
      <c r="R215" s="5"/>
      <c r="S215" s="5"/>
      <c r="T215" s="3"/>
      <c r="U215" s="116"/>
      <c r="V215" s="3"/>
      <c r="W215" s="3"/>
      <c r="X215" s="5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  <c r="BQ215" s="43"/>
      <c r="BR215" s="43"/>
      <c r="BS215" s="43"/>
      <c r="BT215" s="43"/>
      <c r="BU215" s="43"/>
      <c r="BV215" s="43"/>
      <c r="BW215" s="43"/>
    </row>
    <row r="216" spans="1:75" s="36" customFormat="1">
      <c r="A216" s="5"/>
      <c r="B216" s="5"/>
      <c r="C216" s="5"/>
      <c r="D216" s="39"/>
      <c r="E216" s="39"/>
      <c r="F216" s="39"/>
      <c r="G216" s="5"/>
      <c r="H216" s="132"/>
      <c r="I216" s="3"/>
      <c r="J216" s="3"/>
      <c r="K216" s="3"/>
      <c r="L216" s="3" t="str">
        <f>IFERROR(VLOOKUP(tblSOW9[[#This Row],[Employee name ]],[32]Parameters!CP:CS,4,0),"")</f>
        <v/>
      </c>
      <c r="M216" s="85"/>
      <c r="N216" s="5"/>
      <c r="O216" s="3"/>
      <c r="P216" s="8"/>
      <c r="Q216" s="8"/>
      <c r="R216" s="5"/>
      <c r="S216" s="5"/>
      <c r="T216" s="3"/>
      <c r="U216" s="3"/>
      <c r="V216" s="3"/>
      <c r="W216" s="3"/>
      <c r="X216" s="5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43"/>
      <c r="BL216" s="43"/>
      <c r="BM216" s="43"/>
      <c r="BN216" s="43"/>
      <c r="BO216" s="43"/>
      <c r="BP216" s="43"/>
      <c r="BQ216" s="43"/>
      <c r="BR216" s="43"/>
      <c r="BS216" s="43"/>
      <c r="BT216" s="43"/>
      <c r="BU216" s="43"/>
      <c r="BV216" s="43"/>
      <c r="BW216" s="43"/>
    </row>
    <row r="217" spans="1:75" s="36" customFormat="1">
      <c r="A217" s="5"/>
      <c r="B217" s="5"/>
      <c r="C217" s="5"/>
      <c r="D217" s="39"/>
      <c r="E217" s="39"/>
      <c r="F217" s="39"/>
      <c r="G217" s="5"/>
      <c r="H217" s="132"/>
      <c r="I217" s="3"/>
      <c r="J217" s="3"/>
      <c r="K217" s="3"/>
      <c r="L217" s="3" t="str">
        <f>IFERROR(VLOOKUP(tblSOW9[[#This Row],[Employee name ]],[32]Parameters!CP:CS,4,0),"")</f>
        <v/>
      </c>
      <c r="M217" s="85"/>
      <c r="N217" s="5"/>
      <c r="O217" s="3"/>
      <c r="P217" s="8"/>
      <c r="Q217" s="8"/>
      <c r="R217" s="5"/>
      <c r="S217" s="5"/>
      <c r="T217" s="3"/>
      <c r="U217" s="116"/>
      <c r="V217" s="3"/>
      <c r="W217" s="3"/>
      <c r="X217" s="5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43"/>
      <c r="BL217" s="43"/>
      <c r="BM217" s="43"/>
      <c r="BN217" s="43"/>
      <c r="BO217" s="43"/>
      <c r="BP217" s="43"/>
      <c r="BQ217" s="43"/>
      <c r="BR217" s="43"/>
      <c r="BS217" s="43"/>
      <c r="BT217" s="43"/>
      <c r="BU217" s="43"/>
      <c r="BV217" s="43"/>
      <c r="BW217" s="43"/>
    </row>
    <row r="218" spans="1:75" s="36" customFormat="1">
      <c r="A218" s="5"/>
      <c r="B218" s="5"/>
      <c r="C218" s="5"/>
      <c r="D218" s="39"/>
      <c r="E218" s="39"/>
      <c r="F218" s="39"/>
      <c r="G218" s="5"/>
      <c r="H218" s="132"/>
      <c r="I218" s="3"/>
      <c r="J218" s="3"/>
      <c r="K218" s="3"/>
      <c r="L218" s="3" t="str">
        <f>IFERROR(VLOOKUP(tblSOW9[[#This Row],[Employee name ]],[32]Parameters!CP:CS,4,0),"")</f>
        <v/>
      </c>
      <c r="M218" s="85"/>
      <c r="N218" s="5"/>
      <c r="O218" s="3"/>
      <c r="P218" s="8"/>
      <c r="Q218" s="8"/>
      <c r="R218" s="5"/>
      <c r="S218" s="5"/>
      <c r="T218" s="3"/>
      <c r="U218" s="3"/>
      <c r="V218" s="3"/>
      <c r="W218" s="3"/>
      <c r="X218" s="5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  <c r="BP218" s="43"/>
      <c r="BQ218" s="43"/>
      <c r="BR218" s="43"/>
      <c r="BS218" s="43"/>
      <c r="BT218" s="43"/>
      <c r="BU218" s="43"/>
      <c r="BV218" s="43"/>
      <c r="BW218" s="43"/>
    </row>
    <row r="219" spans="1:75" s="36" customFormat="1">
      <c r="A219" s="5"/>
      <c r="B219" s="5"/>
      <c r="C219" s="5"/>
      <c r="D219" s="39"/>
      <c r="E219" s="39"/>
      <c r="F219" s="39"/>
      <c r="G219" s="5"/>
      <c r="H219" s="132"/>
      <c r="I219" s="3"/>
      <c r="J219" s="3"/>
      <c r="K219" s="3"/>
      <c r="L219" s="3" t="str">
        <f>IFERROR(VLOOKUP(tblSOW9[[#This Row],[Employee name ]],[32]Parameters!CP:CS,4,0),"")</f>
        <v/>
      </c>
      <c r="M219" s="85"/>
      <c r="N219" s="5"/>
      <c r="O219" s="3"/>
      <c r="P219" s="8"/>
      <c r="Q219" s="8"/>
      <c r="R219" s="5"/>
      <c r="S219" s="5"/>
      <c r="T219" s="3"/>
      <c r="U219" s="116"/>
      <c r="V219" s="3"/>
      <c r="W219" s="3"/>
      <c r="X219" s="5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43"/>
      <c r="BL219" s="43"/>
      <c r="BM219" s="43"/>
      <c r="BN219" s="43"/>
      <c r="BO219" s="43"/>
      <c r="BP219" s="43"/>
      <c r="BQ219" s="43"/>
      <c r="BR219" s="43"/>
      <c r="BS219" s="43"/>
      <c r="BT219" s="43"/>
      <c r="BU219" s="43"/>
      <c r="BV219" s="43"/>
      <c r="BW219" s="43"/>
    </row>
    <row r="220" spans="1:75" s="36" customFormat="1">
      <c r="A220" s="5"/>
      <c r="B220" s="5"/>
      <c r="C220" s="5"/>
      <c r="D220" s="39"/>
      <c r="E220" s="39"/>
      <c r="F220" s="39"/>
      <c r="G220" s="5"/>
      <c r="H220" s="132"/>
      <c r="I220" s="3"/>
      <c r="J220" s="3"/>
      <c r="K220" s="3"/>
      <c r="L220" s="3" t="str">
        <f>IFERROR(VLOOKUP(tblSOW9[[#This Row],[Employee name ]],[32]Parameters!CP:CS,4,0),"")</f>
        <v/>
      </c>
      <c r="M220" s="85"/>
      <c r="N220" s="5"/>
      <c r="O220" s="3"/>
      <c r="P220" s="8"/>
      <c r="Q220" s="8"/>
      <c r="R220" s="5"/>
      <c r="S220" s="5"/>
      <c r="T220" s="3"/>
      <c r="U220" s="3"/>
      <c r="V220" s="3"/>
      <c r="W220" s="3"/>
      <c r="X220" s="5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  <c r="BO220" s="43"/>
      <c r="BP220" s="43"/>
      <c r="BQ220" s="43"/>
      <c r="BR220" s="43"/>
      <c r="BS220" s="43"/>
      <c r="BT220" s="43"/>
      <c r="BU220" s="43"/>
      <c r="BV220" s="43"/>
      <c r="BW220" s="43"/>
    </row>
    <row r="221" spans="1:75" s="36" customFormat="1">
      <c r="A221" s="5"/>
      <c r="B221" s="5"/>
      <c r="C221" s="5"/>
      <c r="D221" s="39"/>
      <c r="E221" s="39"/>
      <c r="F221" s="39"/>
      <c r="G221" s="5"/>
      <c r="H221" s="132"/>
      <c r="I221" s="3"/>
      <c r="J221" s="3"/>
      <c r="K221" s="3"/>
      <c r="L221" s="3" t="str">
        <f>IFERROR(VLOOKUP(tblSOW9[[#This Row],[Employee name ]],[32]Parameters!CP:CS,4,0),"")</f>
        <v/>
      </c>
      <c r="M221" s="85"/>
      <c r="N221" s="5"/>
      <c r="O221" s="3"/>
      <c r="P221" s="8"/>
      <c r="Q221" s="8"/>
      <c r="R221" s="5"/>
      <c r="S221" s="5"/>
      <c r="T221" s="3"/>
      <c r="U221" s="116"/>
      <c r="V221" s="3"/>
      <c r="W221" s="3"/>
      <c r="X221" s="5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</row>
    <row r="222" spans="1:75" s="36" customFormat="1">
      <c r="A222" s="5"/>
      <c r="B222" s="5"/>
      <c r="C222" s="5"/>
      <c r="D222" s="39"/>
      <c r="E222" s="39"/>
      <c r="F222" s="39"/>
      <c r="G222" s="5"/>
      <c r="H222" s="132"/>
      <c r="I222" s="3"/>
      <c r="J222" s="3"/>
      <c r="K222" s="3"/>
      <c r="L222" s="3" t="str">
        <f>IFERROR(VLOOKUP(tblSOW9[[#This Row],[Employee name ]],[32]Parameters!CP:CS,4,0),"")</f>
        <v/>
      </c>
      <c r="M222" s="85"/>
      <c r="N222" s="5"/>
      <c r="O222" s="3"/>
      <c r="P222" s="8"/>
      <c r="Q222" s="8"/>
      <c r="R222" s="5"/>
      <c r="S222" s="5"/>
      <c r="T222" s="3"/>
      <c r="U222" s="3"/>
      <c r="V222" s="3"/>
      <c r="W222" s="3"/>
      <c r="X222" s="5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</row>
    <row r="223" spans="1:75" s="36" customFormat="1">
      <c r="A223" s="5"/>
      <c r="B223" s="5"/>
      <c r="C223" s="5"/>
      <c r="D223" s="39"/>
      <c r="E223" s="39"/>
      <c r="F223" s="39"/>
      <c r="G223" s="5"/>
      <c r="H223" s="132"/>
      <c r="I223" s="3"/>
      <c r="J223" s="3"/>
      <c r="K223" s="3"/>
      <c r="L223" s="3" t="str">
        <f>IFERROR(VLOOKUP(tblSOW9[[#This Row],[Employee name ]],[32]Parameters!CP:CS,4,0),"")</f>
        <v/>
      </c>
      <c r="M223" s="85"/>
      <c r="N223" s="5"/>
      <c r="O223" s="3"/>
      <c r="P223" s="8"/>
      <c r="Q223" s="8"/>
      <c r="R223" s="5"/>
      <c r="S223" s="5"/>
      <c r="T223" s="3"/>
      <c r="U223" s="116"/>
      <c r="V223" s="3"/>
      <c r="W223" s="3"/>
      <c r="X223" s="5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  <c r="BM223" s="43"/>
      <c r="BN223" s="43"/>
      <c r="BO223" s="43"/>
      <c r="BP223" s="43"/>
      <c r="BQ223" s="43"/>
      <c r="BR223" s="43"/>
      <c r="BS223" s="43"/>
      <c r="BT223" s="43"/>
      <c r="BU223" s="43"/>
      <c r="BV223" s="43"/>
      <c r="BW223" s="43"/>
    </row>
    <row r="224" spans="1:75" s="36" customFormat="1">
      <c r="A224" s="5"/>
      <c r="B224" s="5"/>
      <c r="C224" s="5"/>
      <c r="D224" s="39"/>
      <c r="E224" s="39"/>
      <c r="F224" s="39"/>
      <c r="G224" s="5"/>
      <c r="H224" s="132"/>
      <c r="I224" s="3"/>
      <c r="J224" s="3"/>
      <c r="K224" s="3"/>
      <c r="L224" s="3" t="str">
        <f>IFERROR(VLOOKUP(tblSOW9[[#This Row],[Employee name ]],[32]Parameters!CP:CS,4,0),"")</f>
        <v/>
      </c>
      <c r="M224" s="85"/>
      <c r="N224" s="5"/>
      <c r="O224" s="3"/>
      <c r="P224" s="8"/>
      <c r="Q224" s="8"/>
      <c r="R224" s="5"/>
      <c r="S224" s="5"/>
      <c r="T224" s="3"/>
      <c r="U224" s="3"/>
      <c r="V224" s="3"/>
      <c r="W224" s="3"/>
      <c r="X224" s="5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  <c r="BJ224" s="43"/>
      <c r="BK224" s="43"/>
      <c r="BL224" s="43"/>
      <c r="BM224" s="43"/>
      <c r="BN224" s="43"/>
      <c r="BO224" s="43"/>
      <c r="BP224" s="43"/>
      <c r="BQ224" s="43"/>
      <c r="BR224" s="43"/>
      <c r="BS224" s="43"/>
      <c r="BT224" s="43"/>
      <c r="BU224" s="43"/>
      <c r="BV224" s="43"/>
      <c r="BW224" s="43"/>
    </row>
    <row r="225" spans="1:75" s="36" customFormat="1">
      <c r="A225" s="5"/>
      <c r="B225" s="5"/>
      <c r="C225" s="5"/>
      <c r="D225" s="39"/>
      <c r="E225" s="39"/>
      <c r="F225" s="39"/>
      <c r="G225" s="5"/>
      <c r="H225" s="132"/>
      <c r="I225" s="3"/>
      <c r="J225" s="3"/>
      <c r="K225" s="3"/>
      <c r="L225" s="3" t="str">
        <f>IFERROR(VLOOKUP(tblSOW9[[#This Row],[Employee name ]],[32]Parameters!CP:CS,4,0),"")</f>
        <v/>
      </c>
      <c r="M225" s="85"/>
      <c r="N225" s="5"/>
      <c r="O225" s="3"/>
      <c r="P225" s="8"/>
      <c r="Q225" s="8"/>
      <c r="R225" s="5"/>
      <c r="S225" s="5"/>
      <c r="T225" s="3"/>
      <c r="U225" s="116"/>
      <c r="V225" s="3"/>
      <c r="W225" s="3"/>
      <c r="X225" s="5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</row>
    <row r="226" spans="1:75" s="36" customFormat="1">
      <c r="A226" s="5"/>
      <c r="B226" s="5"/>
      <c r="C226" s="5"/>
      <c r="D226" s="39"/>
      <c r="E226" s="39"/>
      <c r="F226" s="39"/>
      <c r="G226" s="5"/>
      <c r="H226" s="132"/>
      <c r="I226" s="3"/>
      <c r="J226" s="3"/>
      <c r="K226" s="3"/>
      <c r="L226" s="3" t="str">
        <f>IFERROR(VLOOKUP(tblSOW9[[#This Row],[Employee name ]],[32]Parameters!CP:CS,4,0),"")</f>
        <v/>
      </c>
      <c r="M226" s="85"/>
      <c r="N226" s="5"/>
      <c r="O226" s="3"/>
      <c r="P226" s="8"/>
      <c r="Q226" s="8"/>
      <c r="R226" s="5"/>
      <c r="S226" s="5"/>
      <c r="T226" s="3"/>
      <c r="U226" s="3"/>
      <c r="V226" s="3"/>
      <c r="W226" s="3"/>
      <c r="X226" s="5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  <c r="BJ226" s="43"/>
      <c r="BK226" s="43"/>
      <c r="BL226" s="43"/>
      <c r="BM226" s="43"/>
      <c r="BN226" s="43"/>
      <c r="BO226" s="43"/>
      <c r="BP226" s="43"/>
      <c r="BQ226" s="43"/>
      <c r="BR226" s="43"/>
      <c r="BS226" s="43"/>
      <c r="BT226" s="43"/>
      <c r="BU226" s="43"/>
      <c r="BV226" s="43"/>
      <c r="BW226" s="43"/>
    </row>
    <row r="227" spans="1:75" s="36" customFormat="1">
      <c r="A227" s="5"/>
      <c r="B227" s="5"/>
      <c r="C227" s="5"/>
      <c r="D227" s="39"/>
      <c r="E227" s="39"/>
      <c r="F227" s="39"/>
      <c r="G227" s="5"/>
      <c r="H227" s="132"/>
      <c r="I227" s="3"/>
      <c r="J227" s="3"/>
      <c r="K227" s="3"/>
      <c r="L227" s="3" t="str">
        <f>IFERROR(VLOOKUP(tblSOW9[[#This Row],[Employee name ]],[32]Parameters!CP:CS,4,0),"")</f>
        <v/>
      </c>
      <c r="M227" s="85"/>
      <c r="N227" s="5"/>
      <c r="O227" s="3"/>
      <c r="P227" s="8"/>
      <c r="Q227" s="8"/>
      <c r="R227" s="5"/>
      <c r="S227" s="5"/>
      <c r="T227" s="3"/>
      <c r="U227" s="116"/>
      <c r="V227" s="3"/>
      <c r="W227" s="3"/>
      <c r="X227" s="5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43"/>
      <c r="BL227" s="43"/>
      <c r="BM227" s="43"/>
      <c r="BN227" s="43"/>
      <c r="BO227" s="43"/>
      <c r="BP227" s="43"/>
      <c r="BQ227" s="43"/>
      <c r="BR227" s="43"/>
      <c r="BS227" s="43"/>
      <c r="BT227" s="43"/>
      <c r="BU227" s="43"/>
      <c r="BV227" s="43"/>
      <c r="BW227" s="43"/>
    </row>
    <row r="228" spans="1:75" s="36" customFormat="1">
      <c r="A228" s="5"/>
      <c r="B228" s="5"/>
      <c r="C228" s="5"/>
      <c r="D228" s="39"/>
      <c r="E228" s="39"/>
      <c r="F228" s="39"/>
      <c r="G228" s="5"/>
      <c r="H228" s="132"/>
      <c r="I228" s="3"/>
      <c r="J228" s="3"/>
      <c r="K228" s="3"/>
      <c r="L228" s="3" t="str">
        <f>IFERROR(VLOOKUP(tblSOW9[[#This Row],[Employee name ]],[32]Parameters!CP:CS,4,0),"")</f>
        <v/>
      </c>
      <c r="M228" s="85"/>
      <c r="N228" s="5"/>
      <c r="O228" s="3"/>
      <c r="P228" s="8"/>
      <c r="Q228" s="8"/>
      <c r="R228" s="5"/>
      <c r="S228" s="5"/>
      <c r="T228" s="3"/>
      <c r="U228" s="3"/>
      <c r="V228" s="3"/>
      <c r="W228" s="3"/>
      <c r="X228" s="5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  <c r="BI228" s="43"/>
      <c r="BJ228" s="43"/>
      <c r="BK228" s="43"/>
      <c r="BL228" s="43"/>
      <c r="BM228" s="43"/>
      <c r="BN228" s="43"/>
      <c r="BO228" s="43"/>
      <c r="BP228" s="43"/>
      <c r="BQ228" s="43"/>
      <c r="BR228" s="43"/>
      <c r="BS228" s="43"/>
      <c r="BT228" s="43"/>
      <c r="BU228" s="43"/>
      <c r="BV228" s="43"/>
      <c r="BW228" s="43"/>
    </row>
    <row r="229" spans="1:75" s="36" customFormat="1">
      <c r="A229" s="5"/>
      <c r="B229" s="5"/>
      <c r="C229" s="5"/>
      <c r="D229" s="39"/>
      <c r="E229" s="39"/>
      <c r="F229" s="39"/>
      <c r="G229" s="5"/>
      <c r="H229" s="132"/>
      <c r="I229" s="3"/>
      <c r="J229" s="3"/>
      <c r="K229" s="3"/>
      <c r="L229" s="3" t="str">
        <f>IFERROR(VLOOKUP(tblSOW9[[#This Row],[Employee name ]],[32]Parameters!CP:CS,4,0),"")</f>
        <v/>
      </c>
      <c r="M229" s="85"/>
      <c r="N229" s="5"/>
      <c r="O229" s="3"/>
      <c r="P229" s="8"/>
      <c r="Q229" s="8"/>
      <c r="R229" s="5"/>
      <c r="S229" s="5"/>
      <c r="T229" s="3"/>
      <c r="U229" s="116"/>
      <c r="V229" s="3"/>
      <c r="W229" s="3"/>
      <c r="X229" s="5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43"/>
      <c r="BL229" s="43"/>
      <c r="BM229" s="43"/>
      <c r="BN229" s="43"/>
      <c r="BO229" s="43"/>
      <c r="BP229" s="43"/>
      <c r="BQ229" s="43"/>
      <c r="BR229" s="43"/>
      <c r="BS229" s="43"/>
      <c r="BT229" s="43"/>
      <c r="BU229" s="43"/>
      <c r="BV229" s="43"/>
      <c r="BW229" s="43"/>
    </row>
    <row r="230" spans="1:75" s="36" customFormat="1">
      <c r="A230" s="5"/>
      <c r="B230" s="5"/>
      <c r="C230" s="5"/>
      <c r="D230" s="39"/>
      <c r="E230" s="39"/>
      <c r="F230" s="39"/>
      <c r="G230" s="5"/>
      <c r="H230" s="132"/>
      <c r="I230" s="3"/>
      <c r="J230" s="3"/>
      <c r="K230" s="3"/>
      <c r="L230" s="3" t="str">
        <f>IFERROR(VLOOKUP(tblSOW9[[#This Row],[Employee name ]],[32]Parameters!CP:CS,4,0),"")</f>
        <v/>
      </c>
      <c r="M230" s="85"/>
      <c r="N230" s="5"/>
      <c r="O230" s="3"/>
      <c r="P230" s="8"/>
      <c r="Q230" s="8"/>
      <c r="R230" s="5"/>
      <c r="S230" s="5"/>
      <c r="T230" s="3"/>
      <c r="U230" s="3"/>
      <c r="V230" s="3"/>
      <c r="W230" s="3"/>
      <c r="X230" s="5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  <c r="BJ230" s="43"/>
      <c r="BK230" s="43"/>
      <c r="BL230" s="43"/>
      <c r="BM230" s="43"/>
      <c r="BN230" s="43"/>
      <c r="BO230" s="43"/>
      <c r="BP230" s="43"/>
      <c r="BQ230" s="43"/>
      <c r="BR230" s="43"/>
      <c r="BS230" s="43"/>
      <c r="BT230" s="43"/>
      <c r="BU230" s="43"/>
      <c r="BV230" s="43"/>
      <c r="BW230" s="43"/>
    </row>
    <row r="231" spans="1:75" s="36" customFormat="1">
      <c r="A231" s="5"/>
      <c r="B231" s="5"/>
      <c r="C231" s="5"/>
      <c r="D231" s="39"/>
      <c r="E231" s="39"/>
      <c r="F231" s="39"/>
      <c r="G231" s="5"/>
      <c r="H231" s="132"/>
      <c r="I231" s="3"/>
      <c r="J231" s="3"/>
      <c r="K231" s="3"/>
      <c r="L231" s="3" t="str">
        <f>IFERROR(VLOOKUP(tblSOW9[[#This Row],[Employee name ]],[32]Parameters!CP:CS,4,0),"")</f>
        <v/>
      </c>
      <c r="M231" s="85"/>
      <c r="N231" s="5"/>
      <c r="O231" s="3"/>
      <c r="P231" s="8"/>
      <c r="Q231" s="8"/>
      <c r="R231" s="5"/>
      <c r="S231" s="5"/>
      <c r="T231" s="3"/>
      <c r="U231" s="116"/>
      <c r="V231" s="3"/>
      <c r="W231" s="3"/>
      <c r="X231" s="5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  <c r="BI231" s="43"/>
      <c r="BJ231" s="43"/>
      <c r="BK231" s="43"/>
      <c r="BL231" s="43"/>
      <c r="BM231" s="43"/>
      <c r="BN231" s="43"/>
      <c r="BO231" s="43"/>
      <c r="BP231" s="43"/>
      <c r="BQ231" s="43"/>
      <c r="BR231" s="43"/>
      <c r="BS231" s="43"/>
      <c r="BT231" s="43"/>
      <c r="BU231" s="43"/>
      <c r="BV231" s="43"/>
      <c r="BW231" s="43"/>
    </row>
    <row r="232" spans="1:75" s="36" customFormat="1">
      <c r="A232" s="5"/>
      <c r="B232" s="5"/>
      <c r="C232" s="5"/>
      <c r="D232" s="39"/>
      <c r="E232" s="39"/>
      <c r="F232" s="39"/>
      <c r="G232" s="5"/>
      <c r="H232" s="132"/>
      <c r="I232" s="3"/>
      <c r="J232" s="3"/>
      <c r="K232" s="3"/>
      <c r="L232" s="3" t="str">
        <f>IFERROR(VLOOKUP(tblSOW9[[#This Row],[Employee name ]],[32]Parameters!CP:CS,4,0),"")</f>
        <v/>
      </c>
      <c r="M232" s="85"/>
      <c r="N232" s="5"/>
      <c r="O232" s="3"/>
      <c r="P232" s="8"/>
      <c r="Q232" s="8"/>
      <c r="R232" s="5"/>
      <c r="S232" s="5"/>
      <c r="T232" s="3"/>
      <c r="U232" s="3"/>
      <c r="V232" s="3"/>
      <c r="W232" s="3"/>
      <c r="X232" s="5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  <c r="BI232" s="43"/>
      <c r="BJ232" s="43"/>
      <c r="BK232" s="43"/>
      <c r="BL232" s="43"/>
      <c r="BM232" s="43"/>
      <c r="BN232" s="43"/>
      <c r="BO232" s="43"/>
      <c r="BP232" s="43"/>
      <c r="BQ232" s="43"/>
      <c r="BR232" s="43"/>
      <c r="BS232" s="43"/>
      <c r="BT232" s="43"/>
      <c r="BU232" s="43"/>
      <c r="BV232" s="43"/>
      <c r="BW232" s="43"/>
    </row>
    <row r="233" spans="1:75" s="36" customFormat="1">
      <c r="A233" s="5"/>
      <c r="B233" s="5"/>
      <c r="C233" s="5"/>
      <c r="D233" s="39"/>
      <c r="E233" s="39"/>
      <c r="F233" s="39"/>
      <c r="G233" s="5"/>
      <c r="H233" s="132"/>
      <c r="I233" s="3"/>
      <c r="J233" s="3"/>
      <c r="K233" s="3"/>
      <c r="L233" s="3" t="str">
        <f>IFERROR(VLOOKUP(tblSOW9[[#This Row],[Employee name ]],[32]Parameters!CP:CS,4,0),"")</f>
        <v/>
      </c>
      <c r="M233" s="85"/>
      <c r="N233" s="5"/>
      <c r="O233" s="3"/>
      <c r="P233" s="8"/>
      <c r="Q233" s="8"/>
      <c r="R233" s="5"/>
      <c r="S233" s="5"/>
      <c r="T233" s="3"/>
      <c r="U233" s="116"/>
      <c r="V233" s="3"/>
      <c r="W233" s="3"/>
      <c r="X233" s="5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3"/>
      <c r="BJ233" s="43"/>
      <c r="BK233" s="43"/>
      <c r="BL233" s="43"/>
      <c r="BM233" s="43"/>
      <c r="BN233" s="43"/>
      <c r="BO233" s="43"/>
      <c r="BP233" s="43"/>
      <c r="BQ233" s="43"/>
      <c r="BR233" s="43"/>
      <c r="BS233" s="43"/>
      <c r="BT233" s="43"/>
      <c r="BU233" s="43"/>
      <c r="BV233" s="43"/>
      <c r="BW233" s="43"/>
    </row>
    <row r="234" spans="1:75" s="36" customFormat="1">
      <c r="A234" s="5"/>
      <c r="B234" s="5"/>
      <c r="C234" s="5"/>
      <c r="D234" s="39"/>
      <c r="E234" s="39"/>
      <c r="F234" s="39"/>
      <c r="G234" s="5"/>
      <c r="H234" s="132"/>
      <c r="I234" s="3"/>
      <c r="J234" s="3"/>
      <c r="K234" s="3"/>
      <c r="L234" s="3" t="str">
        <f>IFERROR(VLOOKUP(tblSOW9[[#This Row],[Employee name ]],[32]Parameters!CP:CS,4,0),"")</f>
        <v/>
      </c>
      <c r="M234" s="85"/>
      <c r="N234" s="5"/>
      <c r="O234" s="3"/>
      <c r="P234" s="8"/>
      <c r="Q234" s="8"/>
      <c r="R234" s="5"/>
      <c r="S234" s="5"/>
      <c r="T234" s="3"/>
      <c r="U234" s="116"/>
      <c r="V234" s="3"/>
      <c r="W234" s="3"/>
      <c r="X234" s="5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  <c r="BI234" s="43"/>
      <c r="BJ234" s="43"/>
      <c r="BK234" s="43"/>
      <c r="BL234" s="43"/>
      <c r="BM234" s="43"/>
      <c r="BN234" s="43"/>
      <c r="BO234" s="43"/>
      <c r="BP234" s="43"/>
      <c r="BQ234" s="43"/>
      <c r="BR234" s="43"/>
      <c r="BS234" s="43"/>
      <c r="BT234" s="43"/>
      <c r="BU234" s="43"/>
      <c r="BV234" s="43"/>
      <c r="BW234" s="43"/>
    </row>
    <row r="235" spans="1:75" s="36" customFormat="1">
      <c r="A235" s="5"/>
      <c r="B235" s="5"/>
      <c r="C235" s="5"/>
      <c r="D235" s="39"/>
      <c r="E235" s="39"/>
      <c r="F235" s="39"/>
      <c r="G235" s="5"/>
      <c r="H235" s="132"/>
      <c r="I235" s="3"/>
      <c r="J235" s="3"/>
      <c r="K235" s="3"/>
      <c r="L235" s="3" t="str">
        <f>IFERROR(VLOOKUP(tblSOW9[[#This Row],[Employee name ]],[32]Parameters!CP:CS,4,0),"")</f>
        <v/>
      </c>
      <c r="M235" s="85"/>
      <c r="N235" s="5"/>
      <c r="O235" s="3"/>
      <c r="P235" s="8"/>
      <c r="Q235" s="8"/>
      <c r="R235" s="5"/>
      <c r="S235" s="5"/>
      <c r="T235" s="3"/>
      <c r="U235" s="3"/>
      <c r="V235" s="3"/>
      <c r="W235" s="3"/>
      <c r="X235" s="5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  <c r="BJ235" s="43"/>
      <c r="BK235" s="43"/>
      <c r="BL235" s="43"/>
      <c r="BM235" s="43"/>
      <c r="BN235" s="43"/>
      <c r="BO235" s="43"/>
      <c r="BP235" s="43"/>
      <c r="BQ235" s="43"/>
      <c r="BR235" s="43"/>
      <c r="BS235" s="43"/>
      <c r="BT235" s="43"/>
      <c r="BU235" s="43"/>
      <c r="BV235" s="43"/>
      <c r="BW235" s="43"/>
    </row>
    <row r="236" spans="1:75" s="36" customFormat="1">
      <c r="A236" s="5"/>
      <c r="B236" s="5"/>
      <c r="C236" s="5"/>
      <c r="D236" s="39"/>
      <c r="E236" s="39"/>
      <c r="F236" s="39"/>
      <c r="G236" s="5"/>
      <c r="H236" s="132"/>
      <c r="I236" s="3"/>
      <c r="J236" s="3"/>
      <c r="K236" s="3"/>
      <c r="L236" s="3" t="str">
        <f>IFERROR(VLOOKUP(tblSOW9[[#This Row],[Employee name ]],[32]Parameters!CP:CS,4,0),"")</f>
        <v/>
      </c>
      <c r="M236" s="85"/>
      <c r="N236" s="5"/>
      <c r="O236" s="3"/>
      <c r="P236" s="8"/>
      <c r="Q236" s="8"/>
      <c r="R236" s="5"/>
      <c r="S236" s="5"/>
      <c r="T236" s="3"/>
      <c r="U236" s="116"/>
      <c r="V236" s="3"/>
      <c r="W236" s="3"/>
      <c r="X236" s="5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3"/>
      <c r="BJ236" s="43"/>
      <c r="BK236" s="43"/>
      <c r="BL236" s="43"/>
      <c r="BM236" s="43"/>
      <c r="BN236" s="43"/>
      <c r="BO236" s="43"/>
      <c r="BP236" s="43"/>
      <c r="BQ236" s="43"/>
      <c r="BR236" s="43"/>
      <c r="BS236" s="43"/>
      <c r="BT236" s="43"/>
      <c r="BU236" s="43"/>
      <c r="BV236" s="43"/>
      <c r="BW236" s="43"/>
    </row>
    <row r="237" spans="1:75" s="36" customFormat="1">
      <c r="A237" s="5"/>
      <c r="B237" s="5"/>
      <c r="C237" s="5"/>
      <c r="D237" s="39"/>
      <c r="E237" s="39"/>
      <c r="F237" s="39"/>
      <c r="G237" s="5"/>
      <c r="H237" s="132"/>
      <c r="I237" s="3"/>
      <c r="J237" s="3"/>
      <c r="K237" s="3"/>
      <c r="L237" s="3" t="str">
        <f>IFERROR(VLOOKUP(tblSOW9[[#This Row],[Employee name ]],[32]Parameters!CP:CS,4,0),"")</f>
        <v/>
      </c>
      <c r="M237" s="85"/>
      <c r="N237" s="5"/>
      <c r="O237" s="3"/>
      <c r="P237" s="8"/>
      <c r="Q237" s="8"/>
      <c r="R237" s="5"/>
      <c r="S237" s="5"/>
      <c r="T237" s="3"/>
      <c r="U237" s="3"/>
      <c r="V237" s="3"/>
      <c r="W237" s="3"/>
      <c r="X237" s="5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  <c r="BI237" s="43"/>
      <c r="BJ237" s="43"/>
      <c r="BK237" s="43"/>
      <c r="BL237" s="43"/>
      <c r="BM237" s="43"/>
      <c r="BN237" s="43"/>
      <c r="BO237" s="43"/>
      <c r="BP237" s="43"/>
      <c r="BQ237" s="43"/>
      <c r="BR237" s="43"/>
      <c r="BS237" s="43"/>
      <c r="BT237" s="43"/>
      <c r="BU237" s="43"/>
      <c r="BV237" s="43"/>
      <c r="BW237" s="43"/>
    </row>
    <row r="238" spans="1:75" s="36" customFormat="1">
      <c r="A238" s="5"/>
      <c r="B238" s="5"/>
      <c r="C238" s="5"/>
      <c r="D238" s="39"/>
      <c r="E238" s="39"/>
      <c r="F238" s="39"/>
      <c r="G238" s="5"/>
      <c r="H238" s="132"/>
      <c r="I238" s="3"/>
      <c r="J238" s="3"/>
      <c r="K238" s="3"/>
      <c r="L238" s="3" t="str">
        <f>IFERROR(VLOOKUP(tblSOW9[[#This Row],[Employee name ]],[32]Parameters!CP:CS,4,0),"")</f>
        <v/>
      </c>
      <c r="M238" s="85"/>
      <c r="N238" s="5"/>
      <c r="O238" s="3"/>
      <c r="P238" s="8"/>
      <c r="Q238" s="8"/>
      <c r="R238" s="5"/>
      <c r="S238" s="5"/>
      <c r="T238" s="3"/>
      <c r="U238" s="116"/>
      <c r="V238" s="3"/>
      <c r="W238" s="3"/>
      <c r="X238" s="5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  <c r="BC238" s="43"/>
      <c r="BD238" s="43"/>
      <c r="BE238" s="43"/>
      <c r="BF238" s="43"/>
      <c r="BG238" s="43"/>
      <c r="BH238" s="43"/>
      <c r="BI238" s="43"/>
      <c r="BJ238" s="43"/>
      <c r="BK238" s="43"/>
      <c r="BL238" s="43"/>
      <c r="BM238" s="43"/>
      <c r="BN238" s="43"/>
      <c r="BO238" s="43"/>
      <c r="BP238" s="43"/>
      <c r="BQ238" s="43"/>
      <c r="BR238" s="43"/>
      <c r="BS238" s="43"/>
      <c r="BT238" s="43"/>
      <c r="BU238" s="43"/>
      <c r="BV238" s="43"/>
      <c r="BW238" s="43"/>
    </row>
    <row r="239" spans="1:75" s="36" customFormat="1">
      <c r="A239" s="5"/>
      <c r="B239" s="5"/>
      <c r="C239" s="5"/>
      <c r="D239" s="39"/>
      <c r="E239" s="39"/>
      <c r="F239" s="39"/>
      <c r="G239" s="5"/>
      <c r="H239" s="132"/>
      <c r="I239" s="3"/>
      <c r="J239" s="3"/>
      <c r="K239" s="3"/>
      <c r="L239" s="3" t="str">
        <f>IFERROR(VLOOKUP(tblSOW9[[#This Row],[Employee name ]],[32]Parameters!CP:CS,4,0),"")</f>
        <v/>
      </c>
      <c r="M239" s="85"/>
      <c r="N239" s="5"/>
      <c r="O239" s="3"/>
      <c r="P239" s="8"/>
      <c r="Q239" s="8"/>
      <c r="R239" s="5"/>
      <c r="S239" s="5"/>
      <c r="T239" s="3"/>
      <c r="U239" s="3"/>
      <c r="V239" s="3"/>
      <c r="W239" s="3"/>
      <c r="X239" s="5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  <c r="BG239" s="43"/>
      <c r="BH239" s="43"/>
      <c r="BI239" s="43"/>
      <c r="BJ239" s="43"/>
      <c r="BK239" s="43"/>
      <c r="BL239" s="43"/>
      <c r="BM239" s="43"/>
      <c r="BN239" s="43"/>
      <c r="BO239" s="43"/>
      <c r="BP239" s="43"/>
      <c r="BQ239" s="43"/>
      <c r="BR239" s="43"/>
      <c r="BS239" s="43"/>
      <c r="BT239" s="43"/>
      <c r="BU239" s="43"/>
      <c r="BV239" s="43"/>
      <c r="BW239" s="43"/>
    </row>
    <row r="240" spans="1:75" s="36" customFormat="1">
      <c r="A240" s="5"/>
      <c r="B240" s="5"/>
      <c r="C240" s="5"/>
      <c r="D240" s="39"/>
      <c r="E240" s="39"/>
      <c r="F240" s="39"/>
      <c r="G240" s="5"/>
      <c r="H240" s="132"/>
      <c r="I240" s="3"/>
      <c r="J240" s="3"/>
      <c r="K240" s="3"/>
      <c r="L240" s="3" t="str">
        <f>IFERROR(VLOOKUP(tblSOW9[[#This Row],[Employee name ]],[32]Parameters!CP:CS,4,0),"")</f>
        <v/>
      </c>
      <c r="M240" s="85"/>
      <c r="N240" s="5"/>
      <c r="O240" s="3"/>
      <c r="P240" s="8"/>
      <c r="Q240" s="8"/>
      <c r="R240" s="5"/>
      <c r="S240" s="5"/>
      <c r="T240" s="3"/>
      <c r="U240" s="116"/>
      <c r="V240" s="3"/>
      <c r="W240" s="3"/>
      <c r="X240" s="5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  <c r="BG240" s="43"/>
      <c r="BH240" s="43"/>
      <c r="BI240" s="43"/>
      <c r="BJ240" s="43"/>
      <c r="BK240" s="43"/>
      <c r="BL240" s="43"/>
      <c r="BM240" s="43"/>
      <c r="BN240" s="43"/>
      <c r="BO240" s="43"/>
      <c r="BP240" s="43"/>
      <c r="BQ240" s="43"/>
      <c r="BR240" s="43"/>
      <c r="BS240" s="43"/>
      <c r="BT240" s="43"/>
      <c r="BU240" s="43"/>
      <c r="BV240" s="43"/>
      <c r="BW240" s="43"/>
    </row>
    <row r="241" spans="1:75" s="36" customFormat="1">
      <c r="A241" s="5"/>
      <c r="B241" s="5"/>
      <c r="C241" s="5"/>
      <c r="D241" s="39"/>
      <c r="E241" s="39"/>
      <c r="F241" s="39"/>
      <c r="G241" s="5"/>
      <c r="H241" s="132"/>
      <c r="I241" s="3"/>
      <c r="J241" s="3"/>
      <c r="K241" s="3"/>
      <c r="L241" s="3" t="str">
        <f>IFERROR(VLOOKUP(tblSOW9[[#This Row],[Employee name ]],[32]Parameters!CP:CS,4,0),"")</f>
        <v/>
      </c>
      <c r="M241" s="85"/>
      <c r="N241" s="5"/>
      <c r="O241" s="3"/>
      <c r="P241" s="8"/>
      <c r="Q241" s="8"/>
      <c r="R241" s="5"/>
      <c r="S241" s="5"/>
      <c r="T241" s="3"/>
      <c r="U241" s="3"/>
      <c r="V241" s="3"/>
      <c r="W241" s="3"/>
      <c r="X241" s="5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  <c r="BB241" s="43"/>
      <c r="BC241" s="43"/>
      <c r="BD241" s="43"/>
      <c r="BE241" s="43"/>
      <c r="BF241" s="43"/>
      <c r="BG241" s="43"/>
      <c r="BH241" s="43"/>
      <c r="BI241" s="43"/>
      <c r="BJ241" s="43"/>
      <c r="BK241" s="43"/>
      <c r="BL241" s="43"/>
      <c r="BM241" s="43"/>
      <c r="BN241" s="43"/>
      <c r="BO241" s="43"/>
      <c r="BP241" s="43"/>
      <c r="BQ241" s="43"/>
      <c r="BR241" s="43"/>
      <c r="BS241" s="43"/>
      <c r="BT241" s="43"/>
      <c r="BU241" s="43"/>
      <c r="BV241" s="43"/>
      <c r="BW241" s="43"/>
    </row>
    <row r="242" spans="1:75" s="36" customFormat="1">
      <c r="A242" s="5"/>
      <c r="B242" s="5"/>
      <c r="C242" s="5"/>
      <c r="D242" s="39"/>
      <c r="E242" s="39"/>
      <c r="F242" s="39"/>
      <c r="G242" s="5"/>
      <c r="H242" s="132"/>
      <c r="I242" s="3"/>
      <c r="J242" s="3"/>
      <c r="K242" s="3"/>
      <c r="L242" s="3" t="str">
        <f>IFERROR(VLOOKUP(tblSOW9[[#This Row],[Employee name ]],[32]Parameters!CP:CS,4,0),"")</f>
        <v/>
      </c>
      <c r="M242" s="85"/>
      <c r="N242" s="5"/>
      <c r="O242" s="3"/>
      <c r="P242" s="8"/>
      <c r="Q242" s="8"/>
      <c r="R242" s="5"/>
      <c r="S242" s="5"/>
      <c r="T242" s="3"/>
      <c r="U242" s="116"/>
      <c r="V242" s="3"/>
      <c r="W242" s="3"/>
      <c r="X242" s="5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  <c r="BC242" s="43"/>
      <c r="BD242" s="43"/>
      <c r="BE242" s="43"/>
      <c r="BF242" s="43"/>
      <c r="BG242" s="43"/>
      <c r="BH242" s="43"/>
      <c r="BI242" s="43"/>
      <c r="BJ242" s="43"/>
      <c r="BK242" s="43"/>
      <c r="BL242" s="43"/>
      <c r="BM242" s="43"/>
      <c r="BN242" s="43"/>
      <c r="BO242" s="43"/>
      <c r="BP242" s="43"/>
      <c r="BQ242" s="43"/>
      <c r="BR242" s="43"/>
      <c r="BS242" s="43"/>
      <c r="BT242" s="43"/>
      <c r="BU242" s="43"/>
      <c r="BV242" s="43"/>
      <c r="BW242" s="43"/>
    </row>
    <row r="243" spans="1:75" s="36" customFormat="1">
      <c r="A243" s="5"/>
      <c r="B243" s="5"/>
      <c r="C243" s="5"/>
      <c r="D243" s="39"/>
      <c r="E243" s="39"/>
      <c r="F243" s="39"/>
      <c r="G243" s="5"/>
      <c r="H243" s="132"/>
      <c r="I243" s="3"/>
      <c r="J243" s="3"/>
      <c r="K243" s="3"/>
      <c r="L243" s="3" t="str">
        <f>IFERROR(VLOOKUP(tblSOW9[[#This Row],[Employee name ]],[32]Parameters!CP:CS,4,0),"")</f>
        <v/>
      </c>
      <c r="M243" s="85"/>
      <c r="N243" s="5"/>
      <c r="O243" s="3"/>
      <c r="P243" s="8"/>
      <c r="Q243" s="8"/>
      <c r="R243" s="5"/>
      <c r="S243" s="5"/>
      <c r="T243" s="3"/>
      <c r="U243" s="3"/>
      <c r="V243" s="3"/>
      <c r="W243" s="3"/>
      <c r="X243" s="5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43"/>
      <c r="BD243" s="43"/>
      <c r="BE243" s="43"/>
      <c r="BF243" s="43"/>
      <c r="BG243" s="43"/>
      <c r="BH243" s="43"/>
      <c r="BI243" s="43"/>
      <c r="BJ243" s="43"/>
      <c r="BK243" s="43"/>
      <c r="BL243" s="43"/>
      <c r="BM243" s="43"/>
      <c r="BN243" s="43"/>
      <c r="BO243" s="43"/>
      <c r="BP243" s="43"/>
      <c r="BQ243" s="43"/>
      <c r="BR243" s="43"/>
      <c r="BS243" s="43"/>
      <c r="BT243" s="43"/>
      <c r="BU243" s="43"/>
      <c r="BV243" s="43"/>
      <c r="BW243" s="43"/>
    </row>
    <row r="244" spans="1:75" s="36" customFormat="1">
      <c r="A244" s="5"/>
      <c r="B244" s="5"/>
      <c r="C244" s="5"/>
      <c r="D244" s="39"/>
      <c r="E244" s="39"/>
      <c r="F244" s="39"/>
      <c r="G244" s="5"/>
      <c r="H244" s="132"/>
      <c r="I244" s="3"/>
      <c r="J244" s="3"/>
      <c r="K244" s="3"/>
      <c r="L244" s="3" t="str">
        <f>IFERROR(VLOOKUP(tblSOW9[[#This Row],[Employee name ]],[32]Parameters!CP:CS,4,0),"")</f>
        <v/>
      </c>
      <c r="M244" s="85"/>
      <c r="N244" s="5"/>
      <c r="O244" s="3"/>
      <c r="P244" s="8"/>
      <c r="Q244" s="8"/>
      <c r="R244" s="5"/>
      <c r="S244" s="5"/>
      <c r="T244" s="3"/>
      <c r="U244" s="116"/>
      <c r="V244" s="3"/>
      <c r="W244" s="3"/>
      <c r="X244" s="5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  <c r="BB244" s="43"/>
      <c r="BC244" s="43"/>
      <c r="BD244" s="43"/>
      <c r="BE244" s="43"/>
      <c r="BF244" s="43"/>
      <c r="BG244" s="43"/>
      <c r="BH244" s="43"/>
      <c r="BI244" s="43"/>
      <c r="BJ244" s="43"/>
      <c r="BK244" s="43"/>
      <c r="BL244" s="43"/>
      <c r="BM244" s="43"/>
      <c r="BN244" s="43"/>
      <c r="BO244" s="43"/>
      <c r="BP244" s="43"/>
      <c r="BQ244" s="43"/>
      <c r="BR244" s="43"/>
      <c r="BS244" s="43"/>
      <c r="BT244" s="43"/>
      <c r="BU244" s="43"/>
      <c r="BV244" s="43"/>
      <c r="BW244" s="43"/>
    </row>
    <row r="245" spans="1:75" s="36" customFormat="1">
      <c r="A245" s="5"/>
      <c r="B245" s="5"/>
      <c r="C245" s="5"/>
      <c r="D245" s="39"/>
      <c r="E245" s="39"/>
      <c r="F245" s="39"/>
      <c r="G245" s="5"/>
      <c r="H245" s="132"/>
      <c r="I245" s="3"/>
      <c r="J245" s="3"/>
      <c r="K245" s="3"/>
      <c r="L245" s="3" t="str">
        <f>IFERROR(VLOOKUP(tblSOW9[[#This Row],[Employee name ]],[32]Parameters!CP:CS,4,0),"")</f>
        <v/>
      </c>
      <c r="M245" s="85"/>
      <c r="N245" s="5"/>
      <c r="O245" s="3"/>
      <c r="P245" s="8"/>
      <c r="Q245" s="8"/>
      <c r="R245" s="5"/>
      <c r="S245" s="5"/>
      <c r="T245" s="3"/>
      <c r="U245" s="3"/>
      <c r="V245" s="3"/>
      <c r="W245" s="3"/>
      <c r="X245" s="5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  <c r="BB245" s="43"/>
      <c r="BC245" s="43"/>
      <c r="BD245" s="43"/>
      <c r="BE245" s="43"/>
      <c r="BF245" s="43"/>
      <c r="BG245" s="43"/>
      <c r="BH245" s="43"/>
      <c r="BI245" s="43"/>
      <c r="BJ245" s="43"/>
      <c r="BK245" s="43"/>
      <c r="BL245" s="43"/>
      <c r="BM245" s="43"/>
      <c r="BN245" s="43"/>
      <c r="BO245" s="43"/>
      <c r="BP245" s="43"/>
      <c r="BQ245" s="43"/>
      <c r="BR245" s="43"/>
      <c r="BS245" s="43"/>
      <c r="BT245" s="43"/>
      <c r="BU245" s="43"/>
      <c r="BV245" s="43"/>
      <c r="BW245" s="43"/>
    </row>
    <row r="246" spans="1:75" s="36" customFormat="1">
      <c r="A246" s="5"/>
      <c r="B246" s="5"/>
      <c r="C246" s="5"/>
      <c r="D246" s="39"/>
      <c r="E246" s="39"/>
      <c r="F246" s="39"/>
      <c r="G246" s="5"/>
      <c r="H246" s="132"/>
      <c r="I246" s="3"/>
      <c r="J246" s="3"/>
      <c r="K246" s="3"/>
      <c r="L246" s="3" t="str">
        <f>IFERROR(VLOOKUP(tblSOW9[[#This Row],[Employee name ]],[32]Parameters!CP:CS,4,0),"")</f>
        <v/>
      </c>
      <c r="M246" s="85"/>
      <c r="N246" s="5"/>
      <c r="O246" s="3"/>
      <c r="P246" s="8"/>
      <c r="Q246" s="8"/>
      <c r="R246" s="5"/>
      <c r="S246" s="5"/>
      <c r="T246" s="3"/>
      <c r="U246" s="116"/>
      <c r="V246" s="3"/>
      <c r="W246" s="3"/>
      <c r="X246" s="5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  <c r="BB246" s="43"/>
      <c r="BC246" s="43"/>
      <c r="BD246" s="43"/>
      <c r="BE246" s="43"/>
      <c r="BF246" s="43"/>
      <c r="BG246" s="43"/>
      <c r="BH246" s="43"/>
      <c r="BI246" s="43"/>
      <c r="BJ246" s="43"/>
      <c r="BK246" s="43"/>
      <c r="BL246" s="43"/>
      <c r="BM246" s="43"/>
      <c r="BN246" s="43"/>
      <c r="BO246" s="43"/>
      <c r="BP246" s="43"/>
      <c r="BQ246" s="43"/>
      <c r="BR246" s="43"/>
      <c r="BS246" s="43"/>
      <c r="BT246" s="43"/>
      <c r="BU246" s="43"/>
      <c r="BV246" s="43"/>
      <c r="BW246" s="43"/>
    </row>
    <row r="247" spans="1:75" s="36" customFormat="1">
      <c r="A247" s="5"/>
      <c r="B247" s="5"/>
      <c r="C247" s="5"/>
      <c r="D247" s="39"/>
      <c r="E247" s="39"/>
      <c r="F247" s="39"/>
      <c r="G247" s="5"/>
      <c r="H247" s="132"/>
      <c r="I247" s="3"/>
      <c r="J247" s="3"/>
      <c r="K247" s="3"/>
      <c r="L247" s="3" t="str">
        <f>IFERROR(VLOOKUP(tblSOW9[[#This Row],[Employee name ]],[32]Parameters!CP:CS,4,0),"")</f>
        <v/>
      </c>
      <c r="M247" s="85"/>
      <c r="N247" s="5"/>
      <c r="O247" s="3"/>
      <c r="P247" s="8"/>
      <c r="Q247" s="8"/>
      <c r="R247" s="5"/>
      <c r="S247" s="5"/>
      <c r="T247" s="3"/>
      <c r="U247" s="3"/>
      <c r="V247" s="3"/>
      <c r="W247" s="3"/>
      <c r="X247" s="5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  <c r="BB247" s="43"/>
      <c r="BC247" s="43"/>
      <c r="BD247" s="43"/>
      <c r="BE247" s="43"/>
      <c r="BF247" s="43"/>
      <c r="BG247" s="43"/>
      <c r="BH247" s="43"/>
      <c r="BI247" s="43"/>
      <c r="BJ247" s="43"/>
      <c r="BK247" s="43"/>
      <c r="BL247" s="43"/>
      <c r="BM247" s="43"/>
      <c r="BN247" s="43"/>
      <c r="BO247" s="43"/>
      <c r="BP247" s="43"/>
      <c r="BQ247" s="43"/>
      <c r="BR247" s="43"/>
      <c r="BS247" s="43"/>
      <c r="BT247" s="43"/>
      <c r="BU247" s="43"/>
      <c r="BV247" s="43"/>
      <c r="BW247" s="43"/>
    </row>
    <row r="248" spans="1:75" s="36" customFormat="1">
      <c r="A248" s="5"/>
      <c r="B248" s="5"/>
      <c r="C248" s="5"/>
      <c r="D248" s="39"/>
      <c r="E248" s="39"/>
      <c r="F248" s="39"/>
      <c r="G248" s="5"/>
      <c r="H248" s="132"/>
      <c r="I248" s="3"/>
      <c r="J248" s="3"/>
      <c r="K248" s="3"/>
      <c r="L248" s="3" t="str">
        <f>IFERROR(VLOOKUP(tblSOW9[[#This Row],[Employee name ]],[32]Parameters!CP:CS,4,0),"")</f>
        <v/>
      </c>
      <c r="M248" s="85"/>
      <c r="N248" s="5"/>
      <c r="O248" s="3"/>
      <c r="P248" s="8"/>
      <c r="Q248" s="8"/>
      <c r="R248" s="5"/>
      <c r="S248" s="5"/>
      <c r="T248" s="3"/>
      <c r="U248" s="116"/>
      <c r="V248" s="3"/>
      <c r="W248" s="3"/>
      <c r="X248" s="5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  <c r="BB248" s="43"/>
      <c r="BC248" s="43"/>
      <c r="BD248" s="43"/>
      <c r="BE248" s="43"/>
      <c r="BF248" s="43"/>
      <c r="BG248" s="43"/>
      <c r="BH248" s="43"/>
      <c r="BI248" s="43"/>
      <c r="BJ248" s="43"/>
      <c r="BK248" s="43"/>
      <c r="BL248" s="43"/>
      <c r="BM248" s="43"/>
      <c r="BN248" s="43"/>
      <c r="BO248" s="43"/>
      <c r="BP248" s="43"/>
      <c r="BQ248" s="43"/>
      <c r="BR248" s="43"/>
      <c r="BS248" s="43"/>
      <c r="BT248" s="43"/>
      <c r="BU248" s="43"/>
      <c r="BV248" s="43"/>
      <c r="BW248" s="43"/>
    </row>
    <row r="249" spans="1:75" s="36" customFormat="1">
      <c r="A249" s="5"/>
      <c r="B249" s="5"/>
      <c r="C249" s="5"/>
      <c r="D249" s="39"/>
      <c r="E249" s="39"/>
      <c r="F249" s="39"/>
      <c r="G249" s="5"/>
      <c r="H249" s="132"/>
      <c r="I249" s="3"/>
      <c r="J249" s="3"/>
      <c r="K249" s="3"/>
      <c r="L249" s="3" t="str">
        <f>IFERROR(VLOOKUP(tblSOW9[[#This Row],[Employee name ]],[32]Parameters!CP:CS,4,0),"")</f>
        <v/>
      </c>
      <c r="M249" s="85"/>
      <c r="N249" s="5"/>
      <c r="O249" s="3"/>
      <c r="P249" s="8"/>
      <c r="Q249" s="8"/>
      <c r="R249" s="5"/>
      <c r="S249" s="5"/>
      <c r="T249" s="3"/>
      <c r="U249" s="3"/>
      <c r="V249" s="3"/>
      <c r="W249" s="3"/>
      <c r="X249" s="5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  <c r="BC249" s="43"/>
      <c r="BD249" s="43"/>
      <c r="BE249" s="43"/>
      <c r="BF249" s="43"/>
      <c r="BG249" s="43"/>
      <c r="BH249" s="43"/>
      <c r="BI249" s="43"/>
      <c r="BJ249" s="43"/>
      <c r="BK249" s="43"/>
      <c r="BL249" s="43"/>
      <c r="BM249" s="43"/>
      <c r="BN249" s="43"/>
      <c r="BO249" s="43"/>
      <c r="BP249" s="43"/>
      <c r="BQ249" s="43"/>
      <c r="BR249" s="43"/>
      <c r="BS249" s="43"/>
      <c r="BT249" s="43"/>
      <c r="BU249" s="43"/>
      <c r="BV249" s="43"/>
      <c r="BW249" s="43"/>
    </row>
    <row r="250" spans="1:75" s="36" customFormat="1">
      <c r="A250" s="5"/>
      <c r="B250" s="5"/>
      <c r="C250" s="5"/>
      <c r="D250" s="39"/>
      <c r="E250" s="39"/>
      <c r="F250" s="39"/>
      <c r="G250" s="5"/>
      <c r="H250" s="132"/>
      <c r="I250" s="3"/>
      <c r="J250" s="3"/>
      <c r="K250" s="3"/>
      <c r="L250" s="3" t="str">
        <f>IFERROR(VLOOKUP(tblSOW9[[#This Row],[Employee name ]],[32]Parameters!CP:CS,4,0),"")</f>
        <v/>
      </c>
      <c r="M250" s="85"/>
      <c r="N250" s="5"/>
      <c r="O250" s="3"/>
      <c r="P250" s="8"/>
      <c r="Q250" s="8"/>
      <c r="R250" s="5"/>
      <c r="S250" s="5"/>
      <c r="T250" s="3"/>
      <c r="U250" s="116"/>
      <c r="V250" s="3"/>
      <c r="W250" s="3"/>
      <c r="X250" s="5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43"/>
      <c r="AW250" s="43"/>
      <c r="AX250" s="43"/>
      <c r="AY250" s="43"/>
      <c r="AZ250" s="43"/>
      <c r="BA250" s="43"/>
      <c r="BB250" s="43"/>
      <c r="BC250" s="43"/>
      <c r="BD250" s="43"/>
      <c r="BE250" s="43"/>
      <c r="BF250" s="43"/>
      <c r="BG250" s="43"/>
      <c r="BH250" s="43"/>
      <c r="BI250" s="43"/>
      <c r="BJ250" s="43"/>
      <c r="BK250" s="43"/>
      <c r="BL250" s="43"/>
      <c r="BM250" s="43"/>
      <c r="BN250" s="43"/>
      <c r="BO250" s="43"/>
      <c r="BP250" s="43"/>
      <c r="BQ250" s="43"/>
      <c r="BR250" s="43"/>
      <c r="BS250" s="43"/>
      <c r="BT250" s="43"/>
      <c r="BU250" s="43"/>
      <c r="BV250" s="43"/>
      <c r="BW250" s="43"/>
    </row>
    <row r="251" spans="1:75" s="36" customFormat="1">
      <c r="A251" s="5"/>
      <c r="B251" s="5"/>
      <c r="C251" s="5"/>
      <c r="D251" s="39"/>
      <c r="E251" s="39"/>
      <c r="F251" s="39"/>
      <c r="G251" s="5"/>
      <c r="H251" s="132"/>
      <c r="I251" s="3"/>
      <c r="J251" s="3"/>
      <c r="K251" s="3"/>
      <c r="L251" s="3" t="str">
        <f>IFERROR(VLOOKUP(tblSOW9[[#This Row],[Employee name ]],[32]Parameters!CP:CS,4,0),"")</f>
        <v/>
      </c>
      <c r="M251" s="85"/>
      <c r="N251" s="5"/>
      <c r="O251" s="3"/>
      <c r="P251" s="8"/>
      <c r="Q251" s="8"/>
      <c r="R251" s="5"/>
      <c r="S251" s="5"/>
      <c r="T251" s="3"/>
      <c r="U251" s="3"/>
      <c r="V251" s="3"/>
      <c r="W251" s="3"/>
      <c r="X251" s="5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  <c r="BB251" s="43"/>
      <c r="BC251" s="43"/>
      <c r="BD251" s="43"/>
      <c r="BE251" s="43"/>
      <c r="BF251" s="43"/>
      <c r="BG251" s="43"/>
      <c r="BH251" s="43"/>
      <c r="BI251" s="43"/>
      <c r="BJ251" s="43"/>
      <c r="BK251" s="43"/>
      <c r="BL251" s="43"/>
      <c r="BM251" s="43"/>
      <c r="BN251" s="43"/>
      <c r="BO251" s="43"/>
      <c r="BP251" s="43"/>
      <c r="BQ251" s="43"/>
      <c r="BR251" s="43"/>
      <c r="BS251" s="43"/>
      <c r="BT251" s="43"/>
      <c r="BU251" s="43"/>
      <c r="BV251" s="43"/>
      <c r="BW251" s="43"/>
    </row>
    <row r="252" spans="1:75" s="36" customFormat="1">
      <c r="A252" s="5"/>
      <c r="B252" s="5"/>
      <c r="C252" s="5"/>
      <c r="D252" s="39"/>
      <c r="E252" s="39"/>
      <c r="F252" s="39"/>
      <c r="G252" s="5"/>
      <c r="H252" s="132"/>
      <c r="I252" s="3"/>
      <c r="J252" s="3"/>
      <c r="K252" s="3"/>
      <c r="L252" s="3" t="str">
        <f>IFERROR(VLOOKUP(tblSOW9[[#This Row],[Employee name ]],[32]Parameters!CP:CS,4,0),"")</f>
        <v/>
      </c>
      <c r="M252" s="85"/>
      <c r="N252" s="5"/>
      <c r="O252" s="3"/>
      <c r="P252" s="8"/>
      <c r="Q252" s="8"/>
      <c r="R252" s="5"/>
      <c r="S252" s="5"/>
      <c r="T252" s="3"/>
      <c r="U252" s="116"/>
      <c r="V252" s="3"/>
      <c r="W252" s="3"/>
      <c r="X252" s="5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  <c r="BA252" s="43"/>
      <c r="BB252" s="43"/>
      <c r="BC252" s="43"/>
      <c r="BD252" s="43"/>
      <c r="BE252" s="43"/>
      <c r="BF252" s="43"/>
      <c r="BG252" s="43"/>
      <c r="BH252" s="43"/>
      <c r="BI252" s="43"/>
      <c r="BJ252" s="43"/>
      <c r="BK252" s="43"/>
      <c r="BL252" s="43"/>
      <c r="BM252" s="43"/>
      <c r="BN252" s="43"/>
      <c r="BO252" s="43"/>
      <c r="BP252" s="43"/>
      <c r="BQ252" s="43"/>
      <c r="BR252" s="43"/>
      <c r="BS252" s="43"/>
      <c r="BT252" s="43"/>
      <c r="BU252" s="43"/>
      <c r="BV252" s="43"/>
      <c r="BW252" s="43"/>
    </row>
    <row r="253" spans="1:75" s="36" customFormat="1">
      <c r="A253" s="5"/>
      <c r="B253" s="5"/>
      <c r="C253" s="5"/>
      <c r="D253" s="39"/>
      <c r="E253" s="39"/>
      <c r="F253" s="39"/>
      <c r="G253" s="5"/>
      <c r="H253" s="132"/>
      <c r="I253" s="3"/>
      <c r="J253" s="3"/>
      <c r="K253" s="3"/>
      <c r="L253" s="3" t="str">
        <f>IFERROR(VLOOKUP(tblSOW9[[#This Row],[Employee name ]],[32]Parameters!CP:CS,4,0),"")</f>
        <v/>
      </c>
      <c r="M253" s="85"/>
      <c r="N253" s="5"/>
      <c r="O253" s="3"/>
      <c r="P253" s="8"/>
      <c r="Q253" s="8"/>
      <c r="R253" s="5"/>
      <c r="S253" s="5"/>
      <c r="T253" s="3"/>
      <c r="U253" s="3"/>
      <c r="V253" s="3"/>
      <c r="W253" s="3"/>
      <c r="X253" s="5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  <c r="BB253" s="43"/>
      <c r="BC253" s="43"/>
      <c r="BD253" s="43"/>
      <c r="BE253" s="43"/>
      <c r="BF253" s="43"/>
      <c r="BG253" s="43"/>
      <c r="BH253" s="43"/>
      <c r="BI253" s="43"/>
      <c r="BJ253" s="43"/>
      <c r="BK253" s="43"/>
      <c r="BL253" s="43"/>
      <c r="BM253" s="43"/>
      <c r="BN253" s="43"/>
      <c r="BO253" s="43"/>
      <c r="BP253" s="43"/>
      <c r="BQ253" s="43"/>
      <c r="BR253" s="43"/>
      <c r="BS253" s="43"/>
      <c r="BT253" s="43"/>
      <c r="BU253" s="43"/>
      <c r="BV253" s="43"/>
      <c r="BW253" s="43"/>
    </row>
    <row r="254" spans="1:75" s="36" customFormat="1">
      <c r="A254" s="5"/>
      <c r="B254" s="5"/>
      <c r="C254" s="5"/>
      <c r="D254" s="39"/>
      <c r="E254" s="39"/>
      <c r="F254" s="39"/>
      <c r="G254" s="5"/>
      <c r="H254" s="132"/>
      <c r="I254" s="3"/>
      <c r="J254" s="3"/>
      <c r="K254" s="3"/>
      <c r="L254" s="3" t="str">
        <f>IFERROR(VLOOKUP(tblSOW9[[#This Row],[Employee name ]],[32]Parameters!CP:CS,4,0),"")</f>
        <v/>
      </c>
      <c r="M254" s="85"/>
      <c r="N254" s="5"/>
      <c r="O254" s="3"/>
      <c r="P254" s="8"/>
      <c r="Q254" s="8"/>
      <c r="R254" s="5"/>
      <c r="S254" s="5"/>
      <c r="T254" s="3"/>
      <c r="U254" s="116"/>
      <c r="V254" s="3"/>
      <c r="W254" s="3"/>
      <c r="X254" s="5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  <c r="BB254" s="43"/>
      <c r="BC254" s="43"/>
      <c r="BD254" s="43"/>
      <c r="BE254" s="43"/>
      <c r="BF254" s="43"/>
      <c r="BG254" s="43"/>
      <c r="BH254" s="43"/>
      <c r="BI254" s="43"/>
      <c r="BJ254" s="43"/>
      <c r="BK254" s="43"/>
      <c r="BL254" s="43"/>
      <c r="BM254" s="43"/>
      <c r="BN254" s="43"/>
      <c r="BO254" s="43"/>
      <c r="BP254" s="43"/>
      <c r="BQ254" s="43"/>
      <c r="BR254" s="43"/>
      <c r="BS254" s="43"/>
      <c r="BT254" s="43"/>
      <c r="BU254" s="43"/>
      <c r="BV254" s="43"/>
      <c r="BW254" s="43"/>
    </row>
    <row r="255" spans="1:75" s="36" customFormat="1">
      <c r="A255" s="5"/>
      <c r="B255" s="5"/>
      <c r="C255" s="5"/>
      <c r="D255" s="39"/>
      <c r="E255" s="39"/>
      <c r="F255" s="39"/>
      <c r="G255" s="5"/>
      <c r="H255" s="132"/>
      <c r="I255" s="3"/>
      <c r="J255" s="3"/>
      <c r="K255" s="3"/>
      <c r="L255" s="3" t="str">
        <f>IFERROR(VLOOKUP(tblSOW9[[#This Row],[Employee name ]],[32]Parameters!CP:CS,4,0),"")</f>
        <v/>
      </c>
      <c r="M255" s="85"/>
      <c r="N255" s="5"/>
      <c r="O255" s="3"/>
      <c r="P255" s="8"/>
      <c r="Q255" s="8"/>
      <c r="R255" s="5"/>
      <c r="S255" s="5"/>
      <c r="T255" s="3"/>
      <c r="U255" s="3"/>
      <c r="V255" s="3"/>
      <c r="W255" s="3"/>
      <c r="X255" s="5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  <c r="BO255" s="43"/>
      <c r="BP255" s="43"/>
      <c r="BQ255" s="43"/>
      <c r="BR255" s="43"/>
      <c r="BS255" s="43"/>
      <c r="BT255" s="43"/>
      <c r="BU255" s="43"/>
      <c r="BV255" s="43"/>
      <c r="BW255" s="43"/>
    </row>
    <row r="256" spans="1:75" s="36" customFormat="1">
      <c r="A256" s="5"/>
      <c r="B256" s="5"/>
      <c r="C256" s="5"/>
      <c r="D256" s="39"/>
      <c r="E256" s="39"/>
      <c r="F256" s="39"/>
      <c r="G256" s="5"/>
      <c r="H256" s="132"/>
      <c r="I256" s="3"/>
      <c r="J256" s="3"/>
      <c r="K256" s="3"/>
      <c r="L256" s="3" t="str">
        <f>IFERROR(VLOOKUP(tblSOW9[[#This Row],[Employee name ]],[32]Parameters!CP:CS,4,0),"")</f>
        <v/>
      </c>
      <c r="M256" s="85"/>
      <c r="N256" s="5"/>
      <c r="O256" s="3"/>
      <c r="P256" s="8"/>
      <c r="Q256" s="8"/>
      <c r="R256" s="5"/>
      <c r="S256" s="5"/>
      <c r="T256" s="3"/>
      <c r="U256" s="116"/>
      <c r="V256" s="3"/>
      <c r="W256" s="3"/>
      <c r="X256" s="5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3"/>
      <c r="BJ256" s="43"/>
      <c r="BK256" s="43"/>
      <c r="BL256" s="43"/>
      <c r="BM256" s="43"/>
      <c r="BN256" s="43"/>
      <c r="BO256" s="43"/>
      <c r="BP256" s="43"/>
      <c r="BQ256" s="43"/>
      <c r="BR256" s="43"/>
      <c r="BS256" s="43"/>
      <c r="BT256" s="43"/>
      <c r="BU256" s="43"/>
      <c r="BV256" s="43"/>
      <c r="BW256" s="43"/>
    </row>
    <row r="257" spans="1:75" s="36" customFormat="1">
      <c r="A257" s="5"/>
      <c r="B257" s="5"/>
      <c r="C257" s="5"/>
      <c r="D257" s="39"/>
      <c r="E257" s="39"/>
      <c r="F257" s="39"/>
      <c r="G257" s="5"/>
      <c r="H257" s="132"/>
      <c r="I257" s="3"/>
      <c r="J257" s="3"/>
      <c r="K257" s="3"/>
      <c r="L257" s="3" t="str">
        <f>IFERROR(VLOOKUP(tblSOW9[[#This Row],[Employee name ]],[32]Parameters!CP:CS,4,0),"")</f>
        <v/>
      </c>
      <c r="M257" s="85"/>
      <c r="N257" s="5"/>
      <c r="O257" s="3"/>
      <c r="P257" s="8"/>
      <c r="Q257" s="8"/>
      <c r="R257" s="5"/>
      <c r="S257" s="5"/>
      <c r="T257" s="3"/>
      <c r="U257" s="116"/>
      <c r="V257" s="3"/>
      <c r="W257" s="3"/>
      <c r="X257" s="5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  <c r="BB257" s="43"/>
      <c r="BC257" s="43"/>
      <c r="BD257" s="43"/>
      <c r="BE257" s="43"/>
      <c r="BF257" s="43"/>
      <c r="BG257" s="43"/>
      <c r="BH257" s="43"/>
      <c r="BI257" s="43"/>
      <c r="BJ257" s="43"/>
      <c r="BK257" s="43"/>
      <c r="BL257" s="43"/>
      <c r="BM257" s="43"/>
      <c r="BN257" s="43"/>
      <c r="BO257" s="43"/>
      <c r="BP257" s="43"/>
      <c r="BQ257" s="43"/>
      <c r="BR257" s="43"/>
      <c r="BS257" s="43"/>
      <c r="BT257" s="43"/>
      <c r="BU257" s="43"/>
      <c r="BV257" s="43"/>
      <c r="BW257" s="43"/>
    </row>
    <row r="258" spans="1:75" s="36" customFormat="1">
      <c r="A258" s="5"/>
      <c r="B258" s="5"/>
      <c r="C258" s="5"/>
      <c r="D258" s="39"/>
      <c r="E258" s="39"/>
      <c r="F258" s="39"/>
      <c r="G258" s="5"/>
      <c r="H258" s="132"/>
      <c r="I258" s="3"/>
      <c r="J258" s="3"/>
      <c r="K258" s="3"/>
      <c r="L258" s="3" t="str">
        <f>IFERROR(VLOOKUP(tblSOW9[[#This Row],[Employee name ]],[32]Parameters!CP:CS,4,0),"")</f>
        <v/>
      </c>
      <c r="M258" s="85"/>
      <c r="N258" s="5"/>
      <c r="O258" s="3"/>
      <c r="P258" s="8"/>
      <c r="Q258" s="8"/>
      <c r="R258" s="5"/>
      <c r="S258" s="5"/>
      <c r="T258" s="3"/>
      <c r="U258" s="3"/>
      <c r="V258" s="3"/>
      <c r="W258" s="3"/>
      <c r="X258" s="5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  <c r="BB258" s="43"/>
      <c r="BC258" s="43"/>
      <c r="BD258" s="43"/>
      <c r="BE258" s="43"/>
      <c r="BF258" s="43"/>
      <c r="BG258" s="43"/>
      <c r="BH258" s="43"/>
      <c r="BI258" s="43"/>
      <c r="BJ258" s="43"/>
      <c r="BK258" s="43"/>
      <c r="BL258" s="43"/>
      <c r="BM258" s="43"/>
      <c r="BN258" s="43"/>
      <c r="BO258" s="43"/>
      <c r="BP258" s="43"/>
      <c r="BQ258" s="43"/>
      <c r="BR258" s="43"/>
      <c r="BS258" s="43"/>
      <c r="BT258" s="43"/>
      <c r="BU258" s="43"/>
      <c r="BV258" s="43"/>
      <c r="BW258" s="43"/>
    </row>
    <row r="259" spans="1:75" s="36" customFormat="1">
      <c r="A259" s="5"/>
      <c r="B259" s="5"/>
      <c r="C259" s="5"/>
      <c r="D259" s="39"/>
      <c r="E259" s="39"/>
      <c r="F259" s="39"/>
      <c r="G259" s="5"/>
      <c r="H259" s="132"/>
      <c r="I259" s="3"/>
      <c r="J259" s="3"/>
      <c r="K259" s="3"/>
      <c r="L259" s="3" t="str">
        <f>IFERROR(VLOOKUP(tblSOW9[[#This Row],[Employee name ]],[32]Parameters!CP:CS,4,0),"")</f>
        <v/>
      </c>
      <c r="M259" s="85"/>
      <c r="N259" s="5"/>
      <c r="O259" s="3"/>
      <c r="P259" s="8"/>
      <c r="Q259" s="8"/>
      <c r="R259" s="5"/>
      <c r="S259" s="5"/>
      <c r="T259" s="3"/>
      <c r="U259" s="116"/>
      <c r="V259" s="3"/>
      <c r="W259" s="3"/>
      <c r="X259" s="5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  <c r="BB259" s="43"/>
      <c r="BC259" s="43"/>
      <c r="BD259" s="43"/>
      <c r="BE259" s="43"/>
      <c r="BF259" s="43"/>
      <c r="BG259" s="43"/>
      <c r="BH259" s="43"/>
      <c r="BI259" s="43"/>
      <c r="BJ259" s="43"/>
      <c r="BK259" s="43"/>
      <c r="BL259" s="43"/>
      <c r="BM259" s="43"/>
      <c r="BN259" s="43"/>
      <c r="BO259" s="43"/>
      <c r="BP259" s="43"/>
      <c r="BQ259" s="43"/>
      <c r="BR259" s="43"/>
      <c r="BS259" s="43"/>
      <c r="BT259" s="43"/>
      <c r="BU259" s="43"/>
      <c r="BV259" s="43"/>
      <c r="BW259" s="43"/>
    </row>
    <row r="260" spans="1:75" s="36" customFormat="1">
      <c r="A260" s="5"/>
      <c r="B260" s="5"/>
      <c r="C260" s="5"/>
      <c r="D260" s="39"/>
      <c r="E260" s="39"/>
      <c r="F260" s="39"/>
      <c r="G260" s="5"/>
      <c r="H260" s="132"/>
      <c r="I260" s="3"/>
      <c r="J260" s="3"/>
      <c r="K260" s="3"/>
      <c r="L260" s="3" t="str">
        <f>IFERROR(VLOOKUP(tblSOW9[[#This Row],[Employee name ]],[32]Parameters!CP:CS,4,0),"")</f>
        <v/>
      </c>
      <c r="M260" s="85"/>
      <c r="N260" s="5"/>
      <c r="O260" s="3"/>
      <c r="P260" s="8"/>
      <c r="Q260" s="8"/>
      <c r="R260" s="5"/>
      <c r="S260" s="5"/>
      <c r="T260" s="3"/>
      <c r="U260" s="116"/>
      <c r="V260" s="3"/>
      <c r="W260" s="3"/>
      <c r="X260" s="5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  <c r="BA260" s="43"/>
      <c r="BB260" s="43"/>
      <c r="BC260" s="43"/>
      <c r="BD260" s="43"/>
      <c r="BE260" s="43"/>
      <c r="BF260" s="43"/>
      <c r="BG260" s="43"/>
      <c r="BH260" s="43"/>
      <c r="BI260" s="43"/>
      <c r="BJ260" s="43"/>
      <c r="BK260" s="43"/>
      <c r="BL260" s="43"/>
      <c r="BM260" s="43"/>
      <c r="BN260" s="43"/>
      <c r="BO260" s="43"/>
      <c r="BP260" s="43"/>
      <c r="BQ260" s="43"/>
      <c r="BR260" s="43"/>
      <c r="BS260" s="43"/>
      <c r="BT260" s="43"/>
      <c r="BU260" s="43"/>
      <c r="BV260" s="43"/>
      <c r="BW260" s="43"/>
    </row>
    <row r="261" spans="1:75" s="36" customFormat="1">
      <c r="A261" s="5"/>
      <c r="B261" s="5"/>
      <c r="C261" s="5"/>
      <c r="D261" s="39"/>
      <c r="E261" s="39"/>
      <c r="F261" s="39"/>
      <c r="G261" s="5"/>
      <c r="H261" s="132"/>
      <c r="I261" s="3"/>
      <c r="J261" s="3"/>
      <c r="K261" s="3"/>
      <c r="L261" s="3" t="str">
        <f>IFERROR(VLOOKUP(tblSOW9[[#This Row],[Employee name ]],[32]Parameters!CP:CS,4,0),"")</f>
        <v/>
      </c>
      <c r="M261" s="85"/>
      <c r="N261" s="5"/>
      <c r="O261" s="3"/>
      <c r="P261" s="8"/>
      <c r="Q261" s="8"/>
      <c r="R261" s="5"/>
      <c r="S261" s="5"/>
      <c r="T261" s="3"/>
      <c r="U261" s="3"/>
      <c r="V261" s="3"/>
      <c r="W261" s="3"/>
      <c r="X261" s="5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  <c r="BB261" s="43"/>
      <c r="BC261" s="43"/>
      <c r="BD261" s="43"/>
      <c r="BE261" s="43"/>
      <c r="BF261" s="43"/>
      <c r="BG261" s="43"/>
      <c r="BH261" s="43"/>
      <c r="BI261" s="43"/>
      <c r="BJ261" s="43"/>
      <c r="BK261" s="43"/>
      <c r="BL261" s="43"/>
      <c r="BM261" s="43"/>
      <c r="BN261" s="43"/>
      <c r="BO261" s="43"/>
      <c r="BP261" s="43"/>
      <c r="BQ261" s="43"/>
      <c r="BR261" s="43"/>
      <c r="BS261" s="43"/>
      <c r="BT261" s="43"/>
      <c r="BU261" s="43"/>
      <c r="BV261" s="43"/>
      <c r="BW261" s="43"/>
    </row>
    <row r="262" spans="1:75" s="36" customFormat="1">
      <c r="A262" s="5"/>
      <c r="B262" s="5"/>
      <c r="C262" s="5"/>
      <c r="D262" s="39"/>
      <c r="E262" s="39"/>
      <c r="F262" s="39"/>
      <c r="G262" s="5"/>
      <c r="H262" s="132"/>
      <c r="I262" s="3"/>
      <c r="J262" s="3"/>
      <c r="K262" s="3"/>
      <c r="L262" s="3" t="str">
        <f>IFERROR(VLOOKUP(tblSOW9[[#This Row],[Employee name ]],[32]Parameters!CP:CS,4,0),"")</f>
        <v/>
      </c>
      <c r="M262" s="85"/>
      <c r="N262" s="5"/>
      <c r="O262" s="3"/>
      <c r="P262" s="8"/>
      <c r="Q262" s="8"/>
      <c r="R262" s="5"/>
      <c r="S262" s="5"/>
      <c r="T262" s="3"/>
      <c r="U262" s="116"/>
      <c r="V262" s="3"/>
      <c r="W262" s="3"/>
      <c r="X262" s="5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  <c r="BB262" s="43"/>
      <c r="BC262" s="43"/>
      <c r="BD262" s="43"/>
      <c r="BE262" s="43"/>
      <c r="BF262" s="43"/>
      <c r="BG262" s="43"/>
      <c r="BH262" s="43"/>
      <c r="BI262" s="43"/>
      <c r="BJ262" s="43"/>
      <c r="BK262" s="43"/>
      <c r="BL262" s="43"/>
      <c r="BM262" s="43"/>
      <c r="BN262" s="43"/>
      <c r="BO262" s="43"/>
      <c r="BP262" s="43"/>
      <c r="BQ262" s="43"/>
      <c r="BR262" s="43"/>
      <c r="BS262" s="43"/>
      <c r="BT262" s="43"/>
      <c r="BU262" s="43"/>
      <c r="BV262" s="43"/>
      <c r="BW262" s="43"/>
    </row>
    <row r="263" spans="1:75" s="36" customFormat="1">
      <c r="A263" s="5"/>
      <c r="B263" s="5"/>
      <c r="C263" s="5"/>
      <c r="D263" s="39"/>
      <c r="E263" s="39"/>
      <c r="F263" s="39"/>
      <c r="G263" s="5"/>
      <c r="H263" s="132"/>
      <c r="I263" s="3"/>
      <c r="J263" s="3"/>
      <c r="K263" s="3"/>
      <c r="L263" s="3" t="str">
        <f>IFERROR(VLOOKUP(tblSOW9[[#This Row],[Employee name ]],[32]Parameters!CP:CS,4,0),"")</f>
        <v/>
      </c>
      <c r="M263" s="85"/>
      <c r="N263" s="5"/>
      <c r="O263" s="3"/>
      <c r="P263" s="8"/>
      <c r="Q263" s="8"/>
      <c r="R263" s="5"/>
      <c r="S263" s="5"/>
      <c r="T263" s="3"/>
      <c r="U263" s="116"/>
      <c r="V263" s="3"/>
      <c r="W263" s="3"/>
      <c r="X263" s="5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  <c r="BF263" s="43"/>
      <c r="BG263" s="43"/>
      <c r="BH263" s="43"/>
      <c r="BI263" s="43"/>
      <c r="BJ263" s="43"/>
      <c r="BK263" s="43"/>
      <c r="BL263" s="43"/>
      <c r="BM263" s="43"/>
      <c r="BN263" s="43"/>
      <c r="BO263" s="43"/>
      <c r="BP263" s="43"/>
      <c r="BQ263" s="43"/>
      <c r="BR263" s="43"/>
      <c r="BS263" s="43"/>
      <c r="BT263" s="43"/>
      <c r="BU263" s="43"/>
      <c r="BV263" s="43"/>
      <c r="BW263" s="43"/>
    </row>
    <row r="264" spans="1:75" s="36" customFormat="1">
      <c r="A264" s="5"/>
      <c r="B264" s="5"/>
      <c r="C264" s="5"/>
      <c r="D264" s="39"/>
      <c r="E264" s="39"/>
      <c r="F264" s="39"/>
      <c r="G264" s="5"/>
      <c r="H264" s="132"/>
      <c r="I264" s="3"/>
      <c r="J264" s="3"/>
      <c r="K264" s="3"/>
      <c r="L264" s="3" t="str">
        <f>IFERROR(VLOOKUP(tblSOW9[[#This Row],[Employee name ]],[32]Parameters!CP:CS,4,0),"")</f>
        <v/>
      </c>
      <c r="M264" s="85"/>
      <c r="N264" s="5"/>
      <c r="O264" s="3"/>
      <c r="P264" s="8"/>
      <c r="Q264" s="8"/>
      <c r="R264" s="5"/>
      <c r="S264" s="5"/>
      <c r="T264" s="3"/>
      <c r="U264" s="3"/>
      <c r="V264" s="3"/>
      <c r="W264" s="3"/>
      <c r="X264" s="5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  <c r="BB264" s="43"/>
      <c r="BC264" s="43"/>
      <c r="BD264" s="43"/>
      <c r="BE264" s="43"/>
      <c r="BF264" s="43"/>
      <c r="BG264" s="43"/>
      <c r="BH264" s="43"/>
      <c r="BI264" s="43"/>
      <c r="BJ264" s="43"/>
      <c r="BK264" s="43"/>
      <c r="BL264" s="43"/>
      <c r="BM264" s="43"/>
      <c r="BN264" s="43"/>
      <c r="BO264" s="43"/>
      <c r="BP264" s="43"/>
      <c r="BQ264" s="43"/>
      <c r="BR264" s="43"/>
      <c r="BS264" s="43"/>
      <c r="BT264" s="43"/>
      <c r="BU264" s="43"/>
      <c r="BV264" s="43"/>
      <c r="BW264" s="43"/>
    </row>
    <row r="265" spans="1:75" s="36" customFormat="1">
      <c r="A265" s="5"/>
      <c r="B265" s="5"/>
      <c r="C265" s="5"/>
      <c r="D265" s="39"/>
      <c r="E265" s="39"/>
      <c r="F265" s="39"/>
      <c r="G265" s="5"/>
      <c r="H265" s="132"/>
      <c r="I265" s="3"/>
      <c r="J265" s="3"/>
      <c r="K265" s="3"/>
      <c r="L265" s="3" t="str">
        <f>IFERROR(VLOOKUP(tblSOW9[[#This Row],[Employee name ]],[32]Parameters!CP:CS,4,0),"")</f>
        <v/>
      </c>
      <c r="M265" s="85"/>
      <c r="N265" s="5"/>
      <c r="O265" s="3"/>
      <c r="P265" s="8"/>
      <c r="Q265" s="8"/>
      <c r="R265" s="5"/>
      <c r="S265" s="5"/>
      <c r="T265" s="3"/>
      <c r="U265" s="116"/>
      <c r="V265" s="3"/>
      <c r="W265" s="3"/>
      <c r="X265" s="5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  <c r="BB265" s="43"/>
      <c r="BC265" s="43"/>
      <c r="BD265" s="43"/>
      <c r="BE265" s="43"/>
      <c r="BF265" s="43"/>
      <c r="BG265" s="43"/>
      <c r="BH265" s="43"/>
      <c r="BI265" s="43"/>
      <c r="BJ265" s="43"/>
      <c r="BK265" s="43"/>
      <c r="BL265" s="43"/>
      <c r="BM265" s="43"/>
      <c r="BN265" s="43"/>
      <c r="BO265" s="43"/>
      <c r="BP265" s="43"/>
      <c r="BQ265" s="43"/>
      <c r="BR265" s="43"/>
      <c r="BS265" s="43"/>
      <c r="BT265" s="43"/>
      <c r="BU265" s="43"/>
      <c r="BV265" s="43"/>
      <c r="BW265" s="43"/>
    </row>
    <row r="266" spans="1:75" s="36" customFormat="1">
      <c r="A266" s="5"/>
      <c r="B266" s="5"/>
      <c r="C266" s="5"/>
      <c r="D266" s="39"/>
      <c r="E266" s="39"/>
      <c r="F266" s="39"/>
      <c r="G266" s="5"/>
      <c r="H266" s="132"/>
      <c r="I266" s="3"/>
      <c r="J266" s="3"/>
      <c r="K266" s="3"/>
      <c r="L266" s="3" t="str">
        <f>IFERROR(VLOOKUP(tblSOW9[[#This Row],[Employee name ]],[32]Parameters!CP:CS,4,0),"")</f>
        <v/>
      </c>
      <c r="M266" s="85"/>
      <c r="N266" s="5"/>
      <c r="O266" s="3"/>
      <c r="P266" s="8"/>
      <c r="Q266" s="8"/>
      <c r="R266" s="5"/>
      <c r="S266" s="5"/>
      <c r="T266" s="3"/>
      <c r="U266" s="3"/>
      <c r="V266" s="3"/>
      <c r="W266" s="3"/>
      <c r="X266" s="5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  <c r="BB266" s="43"/>
      <c r="BC266" s="43"/>
      <c r="BD266" s="43"/>
      <c r="BE266" s="43"/>
      <c r="BF266" s="43"/>
      <c r="BG266" s="43"/>
      <c r="BH266" s="43"/>
      <c r="BI266" s="43"/>
      <c r="BJ266" s="43"/>
      <c r="BK266" s="43"/>
      <c r="BL266" s="43"/>
      <c r="BM266" s="43"/>
      <c r="BN266" s="43"/>
      <c r="BO266" s="43"/>
      <c r="BP266" s="43"/>
      <c r="BQ266" s="43"/>
      <c r="BR266" s="43"/>
      <c r="BS266" s="43"/>
      <c r="BT266" s="43"/>
      <c r="BU266" s="43"/>
      <c r="BV266" s="43"/>
      <c r="BW266" s="43"/>
    </row>
    <row r="267" spans="1:75" s="36" customFormat="1">
      <c r="A267" s="5"/>
      <c r="B267" s="5"/>
      <c r="C267" s="5"/>
      <c r="D267" s="39"/>
      <c r="E267" s="39"/>
      <c r="F267" s="39"/>
      <c r="G267" s="5"/>
      <c r="H267" s="132"/>
      <c r="I267" s="3"/>
      <c r="J267" s="3"/>
      <c r="K267" s="3"/>
      <c r="L267" s="3" t="str">
        <f>IFERROR(VLOOKUP(tblSOW9[[#This Row],[Employee name ]],[32]Parameters!CP:CS,4,0),"")</f>
        <v/>
      </c>
      <c r="M267" s="85"/>
      <c r="N267" s="5"/>
      <c r="O267" s="3"/>
      <c r="P267" s="8"/>
      <c r="Q267" s="8"/>
      <c r="R267" s="5"/>
      <c r="S267" s="5"/>
      <c r="T267" s="3"/>
      <c r="U267" s="116"/>
      <c r="V267" s="3"/>
      <c r="W267" s="3"/>
      <c r="X267" s="5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  <c r="BC267" s="43"/>
      <c r="BD267" s="43"/>
      <c r="BE267" s="43"/>
      <c r="BF267" s="43"/>
      <c r="BG267" s="43"/>
      <c r="BH267" s="43"/>
      <c r="BI267" s="43"/>
      <c r="BJ267" s="43"/>
      <c r="BK267" s="43"/>
      <c r="BL267" s="43"/>
      <c r="BM267" s="43"/>
      <c r="BN267" s="43"/>
      <c r="BO267" s="43"/>
      <c r="BP267" s="43"/>
      <c r="BQ267" s="43"/>
      <c r="BR267" s="43"/>
      <c r="BS267" s="43"/>
      <c r="BT267" s="43"/>
      <c r="BU267" s="43"/>
      <c r="BV267" s="43"/>
      <c r="BW267" s="43"/>
    </row>
    <row r="268" spans="1:75" s="36" customFormat="1">
      <c r="A268" s="5"/>
      <c r="B268" s="5"/>
      <c r="C268" s="5"/>
      <c r="D268" s="39"/>
      <c r="E268" s="39"/>
      <c r="F268" s="39"/>
      <c r="G268" s="5"/>
      <c r="H268" s="132"/>
      <c r="I268" s="3"/>
      <c r="J268" s="3"/>
      <c r="K268" s="3"/>
      <c r="L268" s="3" t="str">
        <f>IFERROR(VLOOKUP(tblSOW9[[#This Row],[Employee name ]],[32]Parameters!CP:CS,4,0),"")</f>
        <v/>
      </c>
      <c r="M268" s="85"/>
      <c r="N268" s="5"/>
      <c r="O268" s="3"/>
      <c r="P268" s="8"/>
      <c r="Q268" s="8"/>
      <c r="R268" s="5"/>
      <c r="S268" s="5"/>
      <c r="T268" s="3"/>
      <c r="U268" s="3"/>
      <c r="V268" s="3"/>
      <c r="W268" s="3"/>
      <c r="X268" s="5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  <c r="BB268" s="43"/>
      <c r="BC268" s="43"/>
      <c r="BD268" s="43"/>
      <c r="BE268" s="43"/>
      <c r="BF268" s="43"/>
      <c r="BG268" s="43"/>
      <c r="BH268" s="43"/>
      <c r="BI268" s="43"/>
      <c r="BJ268" s="43"/>
      <c r="BK268" s="43"/>
      <c r="BL268" s="43"/>
      <c r="BM268" s="43"/>
      <c r="BN268" s="43"/>
      <c r="BO268" s="43"/>
      <c r="BP268" s="43"/>
      <c r="BQ268" s="43"/>
      <c r="BR268" s="43"/>
      <c r="BS268" s="43"/>
      <c r="BT268" s="43"/>
      <c r="BU268" s="43"/>
      <c r="BV268" s="43"/>
      <c r="BW268" s="43"/>
    </row>
    <row r="269" spans="1:75" s="36" customFormat="1">
      <c r="A269" s="5"/>
      <c r="B269" s="5"/>
      <c r="C269" s="5"/>
      <c r="D269" s="39"/>
      <c r="E269" s="39"/>
      <c r="F269" s="39"/>
      <c r="G269" s="5"/>
      <c r="H269" s="132"/>
      <c r="I269" s="3"/>
      <c r="J269" s="3"/>
      <c r="K269" s="3"/>
      <c r="L269" s="3" t="str">
        <f>IFERROR(VLOOKUP(tblSOW9[[#This Row],[Employee name ]],[32]Parameters!CP:CS,4,0),"")</f>
        <v/>
      </c>
      <c r="M269" s="85"/>
      <c r="N269" s="5"/>
      <c r="O269" s="3"/>
      <c r="P269" s="8"/>
      <c r="Q269" s="8"/>
      <c r="R269" s="5"/>
      <c r="S269" s="5"/>
      <c r="T269" s="3"/>
      <c r="U269" s="3"/>
      <c r="V269" s="3"/>
      <c r="W269" s="3"/>
      <c r="X269" s="5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  <c r="BB269" s="43"/>
      <c r="BC269" s="43"/>
      <c r="BD269" s="43"/>
      <c r="BE269" s="43"/>
      <c r="BF269" s="43"/>
      <c r="BG269" s="43"/>
      <c r="BH269" s="43"/>
      <c r="BI269" s="43"/>
      <c r="BJ269" s="43"/>
      <c r="BK269" s="43"/>
      <c r="BL269" s="43"/>
      <c r="BM269" s="43"/>
      <c r="BN269" s="43"/>
      <c r="BO269" s="43"/>
      <c r="BP269" s="43"/>
      <c r="BQ269" s="43"/>
      <c r="BR269" s="43"/>
      <c r="BS269" s="43"/>
      <c r="BT269" s="43"/>
      <c r="BU269" s="43"/>
      <c r="BV269" s="43"/>
      <c r="BW269" s="43"/>
    </row>
    <row r="270" spans="1:75" s="36" customFormat="1">
      <c r="A270" s="5"/>
      <c r="B270" s="5"/>
      <c r="C270" s="5"/>
      <c r="D270" s="39"/>
      <c r="E270" s="39"/>
      <c r="F270" s="39"/>
      <c r="G270" s="5"/>
      <c r="H270" s="132"/>
      <c r="I270" s="3"/>
      <c r="J270" s="3"/>
      <c r="K270" s="3"/>
      <c r="L270" s="3" t="str">
        <f>IFERROR(VLOOKUP(tblSOW9[[#This Row],[Employee name ]],[32]Parameters!CP:CS,4,0),"")</f>
        <v/>
      </c>
      <c r="M270" s="85"/>
      <c r="N270" s="5"/>
      <c r="O270" s="3"/>
      <c r="P270" s="8"/>
      <c r="Q270" s="8"/>
      <c r="R270" s="5"/>
      <c r="S270" s="5"/>
      <c r="T270" s="3"/>
      <c r="U270" s="3"/>
      <c r="V270" s="3"/>
      <c r="W270" s="3"/>
      <c r="X270" s="5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  <c r="BI270" s="43"/>
      <c r="BJ270" s="43"/>
      <c r="BK270" s="43"/>
      <c r="BL270" s="43"/>
      <c r="BM270" s="43"/>
      <c r="BN270" s="43"/>
      <c r="BO270" s="43"/>
      <c r="BP270" s="43"/>
      <c r="BQ270" s="43"/>
      <c r="BR270" s="43"/>
      <c r="BS270" s="43"/>
      <c r="BT270" s="43"/>
      <c r="BU270" s="43"/>
      <c r="BV270" s="43"/>
      <c r="BW270" s="43"/>
    </row>
    <row r="271" spans="1:75" s="36" customFormat="1">
      <c r="A271" s="5"/>
      <c r="B271" s="5"/>
      <c r="C271" s="5"/>
      <c r="D271" s="39"/>
      <c r="E271" s="39"/>
      <c r="F271" s="39"/>
      <c r="G271" s="5"/>
      <c r="H271" s="132"/>
      <c r="I271" s="3"/>
      <c r="J271" s="3"/>
      <c r="K271" s="3"/>
      <c r="L271" s="3" t="str">
        <f>IFERROR(VLOOKUP(tblSOW9[[#This Row],[Employee name ]],[32]Parameters!CP:CS,4,0),"")</f>
        <v/>
      </c>
      <c r="M271" s="85"/>
      <c r="N271" s="5"/>
      <c r="O271" s="3"/>
      <c r="P271" s="8"/>
      <c r="Q271" s="8"/>
      <c r="R271" s="5"/>
      <c r="S271" s="5"/>
      <c r="T271" s="3"/>
      <c r="U271" s="3"/>
      <c r="V271" s="3"/>
      <c r="W271" s="3"/>
      <c r="X271" s="5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  <c r="BI271" s="43"/>
      <c r="BJ271" s="43"/>
      <c r="BK271" s="43"/>
      <c r="BL271" s="43"/>
      <c r="BM271" s="43"/>
      <c r="BN271" s="43"/>
      <c r="BO271" s="43"/>
      <c r="BP271" s="43"/>
      <c r="BQ271" s="43"/>
      <c r="BR271" s="43"/>
      <c r="BS271" s="43"/>
      <c r="BT271" s="43"/>
      <c r="BU271" s="43"/>
      <c r="BV271" s="43"/>
      <c r="BW271" s="43"/>
    </row>
    <row r="272" spans="1:75" s="36" customFormat="1">
      <c r="A272" s="5"/>
      <c r="B272" s="5"/>
      <c r="C272" s="5"/>
      <c r="D272" s="39"/>
      <c r="E272" s="39"/>
      <c r="F272" s="39"/>
      <c r="G272" s="5"/>
      <c r="H272" s="132"/>
      <c r="I272" s="3"/>
      <c r="J272" s="3"/>
      <c r="K272" s="3"/>
      <c r="L272" s="3" t="str">
        <f>IFERROR(VLOOKUP(tblSOW9[[#This Row],[Employee name ]],[32]Parameters!CP:CS,4,0),"")</f>
        <v/>
      </c>
      <c r="M272" s="85"/>
      <c r="N272" s="5"/>
      <c r="O272" s="3"/>
      <c r="P272" s="8"/>
      <c r="Q272" s="8"/>
      <c r="R272" s="5"/>
      <c r="S272" s="5"/>
      <c r="T272" s="3"/>
      <c r="U272" s="3"/>
      <c r="V272" s="5"/>
      <c r="W272" s="5"/>
      <c r="X272" s="5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  <c r="BA272" s="43"/>
      <c r="BB272" s="43"/>
      <c r="BC272" s="43"/>
      <c r="BD272" s="43"/>
      <c r="BE272" s="43"/>
      <c r="BF272" s="43"/>
      <c r="BG272" s="43"/>
      <c r="BH272" s="43"/>
      <c r="BI272" s="43"/>
      <c r="BJ272" s="43"/>
      <c r="BK272" s="43"/>
      <c r="BL272" s="43"/>
      <c r="BM272" s="43"/>
      <c r="BN272" s="43"/>
      <c r="BO272" s="43"/>
      <c r="BP272" s="43"/>
      <c r="BQ272" s="43"/>
      <c r="BR272" s="43"/>
      <c r="BS272" s="43"/>
      <c r="BT272" s="43"/>
      <c r="BU272" s="43"/>
      <c r="BV272" s="43"/>
      <c r="BW272" s="43"/>
    </row>
    <row r="273" spans="1:75" s="36" customFormat="1">
      <c r="A273" s="5"/>
      <c r="B273" s="5"/>
      <c r="C273" s="5"/>
      <c r="D273" s="39"/>
      <c r="E273" s="39"/>
      <c r="F273" s="39"/>
      <c r="G273" s="5"/>
      <c r="H273" s="132"/>
      <c r="I273" s="3"/>
      <c r="J273" s="3"/>
      <c r="K273" s="3"/>
      <c r="L273" s="3" t="str">
        <f>IFERROR(VLOOKUP(tblSOW9[[#This Row],[Employee name ]],[32]Parameters!CP:CS,4,0),"")</f>
        <v/>
      </c>
      <c r="M273" s="85"/>
      <c r="N273" s="5"/>
      <c r="O273" s="3"/>
      <c r="P273" s="8"/>
      <c r="Q273" s="8"/>
      <c r="R273" s="5"/>
      <c r="S273" s="5"/>
      <c r="T273" s="3"/>
      <c r="U273" s="3"/>
      <c r="V273" s="5"/>
      <c r="W273" s="5"/>
      <c r="X273" s="5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  <c r="BA273" s="43"/>
      <c r="BB273" s="43"/>
      <c r="BC273" s="43"/>
      <c r="BD273" s="43"/>
      <c r="BE273" s="43"/>
      <c r="BF273" s="43"/>
      <c r="BG273" s="43"/>
      <c r="BH273" s="43"/>
      <c r="BI273" s="43"/>
      <c r="BJ273" s="43"/>
      <c r="BK273" s="43"/>
      <c r="BL273" s="43"/>
      <c r="BM273" s="43"/>
      <c r="BN273" s="43"/>
      <c r="BO273" s="43"/>
      <c r="BP273" s="43"/>
      <c r="BQ273" s="43"/>
      <c r="BR273" s="43"/>
      <c r="BS273" s="43"/>
      <c r="BT273" s="43"/>
      <c r="BU273" s="43"/>
      <c r="BV273" s="43"/>
      <c r="BW273" s="43"/>
    </row>
    <row r="274" spans="1:75" s="36" customFormat="1">
      <c r="A274" s="5"/>
      <c r="B274" s="5"/>
      <c r="C274" s="5"/>
      <c r="D274" s="39"/>
      <c r="E274" s="39"/>
      <c r="F274" s="39"/>
      <c r="G274" s="5"/>
      <c r="H274" s="132"/>
      <c r="I274" s="3"/>
      <c r="J274" s="3"/>
      <c r="K274" s="3"/>
      <c r="L274" s="3" t="str">
        <f>IFERROR(VLOOKUP(tblSOW9[[#This Row],[Employee name ]],[32]Parameters!CP:CS,4,0),"")</f>
        <v/>
      </c>
      <c r="M274" s="85"/>
      <c r="N274" s="5"/>
      <c r="O274" s="3"/>
      <c r="P274" s="8"/>
      <c r="Q274" s="8"/>
      <c r="R274" s="5"/>
      <c r="S274" s="5"/>
      <c r="T274" s="3"/>
      <c r="U274" s="3"/>
      <c r="V274" s="5"/>
      <c r="W274" s="5"/>
      <c r="X274" s="5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43"/>
      <c r="BH274" s="43"/>
      <c r="BI274" s="43"/>
      <c r="BJ274" s="43"/>
      <c r="BK274" s="43"/>
      <c r="BL274" s="43"/>
      <c r="BM274" s="43"/>
      <c r="BN274" s="43"/>
      <c r="BO274" s="43"/>
      <c r="BP274" s="43"/>
      <c r="BQ274" s="43"/>
      <c r="BR274" s="43"/>
      <c r="BS274" s="43"/>
      <c r="BT274" s="43"/>
      <c r="BU274" s="43"/>
      <c r="BV274" s="43"/>
      <c r="BW274" s="43"/>
    </row>
    <row r="275" spans="1:75" s="36" customFormat="1">
      <c r="A275" s="5"/>
      <c r="B275" s="5"/>
      <c r="C275" s="5"/>
      <c r="D275" s="39"/>
      <c r="E275" s="39"/>
      <c r="F275" s="39"/>
      <c r="G275" s="5"/>
      <c r="H275" s="132"/>
      <c r="I275" s="3"/>
      <c r="J275" s="3"/>
      <c r="K275" s="3"/>
      <c r="L275" s="3" t="str">
        <f>IFERROR(VLOOKUP(tblSOW9[[#This Row],[Employee name ]],[32]Parameters!CP:CS,4,0),"")</f>
        <v/>
      </c>
      <c r="M275" s="85"/>
      <c r="N275" s="5"/>
      <c r="O275" s="3"/>
      <c r="P275" s="8"/>
      <c r="Q275" s="8"/>
      <c r="R275" s="5"/>
      <c r="S275" s="5"/>
      <c r="T275" s="3"/>
      <c r="U275" s="3"/>
      <c r="V275" s="5"/>
      <c r="W275" s="5"/>
      <c r="X275" s="5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  <c r="BA275" s="43"/>
      <c r="BB275" s="43"/>
      <c r="BC275" s="43"/>
      <c r="BD275" s="43"/>
      <c r="BE275" s="43"/>
      <c r="BF275" s="43"/>
      <c r="BG275" s="43"/>
      <c r="BH275" s="43"/>
      <c r="BI275" s="43"/>
      <c r="BJ275" s="43"/>
      <c r="BK275" s="43"/>
      <c r="BL275" s="43"/>
      <c r="BM275" s="43"/>
      <c r="BN275" s="43"/>
      <c r="BO275" s="43"/>
      <c r="BP275" s="43"/>
      <c r="BQ275" s="43"/>
      <c r="BR275" s="43"/>
      <c r="BS275" s="43"/>
      <c r="BT275" s="43"/>
      <c r="BU275" s="43"/>
      <c r="BV275" s="43"/>
      <c r="BW275" s="43"/>
    </row>
    <row r="276" spans="1:75" s="36" customFormat="1">
      <c r="A276" s="5"/>
      <c r="B276" s="5"/>
      <c r="C276" s="5"/>
      <c r="D276" s="39"/>
      <c r="E276" s="39"/>
      <c r="F276" s="39"/>
      <c r="G276" s="5"/>
      <c r="H276" s="132"/>
      <c r="I276" s="3"/>
      <c r="J276" s="3"/>
      <c r="K276" s="3"/>
      <c r="L276" s="3" t="str">
        <f>IFERROR(VLOOKUP(tblSOW9[[#This Row],[Employee name ]],[32]Parameters!CP:CS,4,0),"")</f>
        <v/>
      </c>
      <c r="M276" s="85"/>
      <c r="N276" s="5"/>
      <c r="O276" s="3"/>
      <c r="P276" s="8"/>
      <c r="Q276" s="8"/>
      <c r="R276" s="5"/>
      <c r="S276" s="5"/>
      <c r="T276" s="3"/>
      <c r="U276" s="3"/>
      <c r="V276" s="5"/>
      <c r="W276" s="5"/>
      <c r="X276" s="5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  <c r="AX276" s="43"/>
      <c r="AY276" s="43"/>
      <c r="AZ276" s="43"/>
      <c r="BA276" s="43"/>
      <c r="BB276" s="43"/>
      <c r="BC276" s="43"/>
      <c r="BD276" s="43"/>
      <c r="BE276" s="43"/>
      <c r="BF276" s="43"/>
      <c r="BG276" s="43"/>
      <c r="BH276" s="43"/>
      <c r="BI276" s="43"/>
      <c r="BJ276" s="43"/>
      <c r="BK276" s="43"/>
      <c r="BL276" s="43"/>
      <c r="BM276" s="43"/>
      <c r="BN276" s="43"/>
      <c r="BO276" s="43"/>
      <c r="BP276" s="43"/>
      <c r="BQ276" s="43"/>
      <c r="BR276" s="43"/>
      <c r="BS276" s="43"/>
      <c r="BT276" s="43"/>
      <c r="BU276" s="43"/>
      <c r="BV276" s="43"/>
      <c r="BW276" s="43"/>
    </row>
    <row r="277" spans="1:75" s="36" customFormat="1">
      <c r="A277" s="5"/>
      <c r="B277" s="5"/>
      <c r="C277" s="5"/>
      <c r="D277" s="39"/>
      <c r="E277" s="39"/>
      <c r="F277" s="39"/>
      <c r="G277" s="5"/>
      <c r="H277" s="132"/>
      <c r="I277" s="3"/>
      <c r="J277" s="3"/>
      <c r="K277" s="3"/>
      <c r="L277" s="3" t="str">
        <f>IFERROR(VLOOKUP(tblSOW9[[#This Row],[Employee name ]],[32]Parameters!CP:CS,4,0),"")</f>
        <v/>
      </c>
      <c r="M277" s="85"/>
      <c r="N277" s="5"/>
      <c r="O277" s="3"/>
      <c r="P277" s="8"/>
      <c r="Q277" s="8"/>
      <c r="R277" s="5"/>
      <c r="S277" s="5"/>
      <c r="T277" s="3"/>
      <c r="U277" s="3"/>
      <c r="V277" s="5"/>
      <c r="W277" s="5"/>
      <c r="X277" s="5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  <c r="AX277" s="43"/>
      <c r="AY277" s="43"/>
      <c r="AZ277" s="43"/>
      <c r="BA277" s="43"/>
      <c r="BB277" s="43"/>
      <c r="BC277" s="43"/>
      <c r="BD277" s="43"/>
      <c r="BE277" s="43"/>
      <c r="BF277" s="43"/>
      <c r="BG277" s="43"/>
      <c r="BH277" s="43"/>
      <c r="BI277" s="43"/>
      <c r="BJ277" s="43"/>
      <c r="BK277" s="43"/>
      <c r="BL277" s="43"/>
      <c r="BM277" s="43"/>
      <c r="BN277" s="43"/>
      <c r="BO277" s="43"/>
      <c r="BP277" s="43"/>
      <c r="BQ277" s="43"/>
      <c r="BR277" s="43"/>
      <c r="BS277" s="43"/>
      <c r="BT277" s="43"/>
      <c r="BU277" s="43"/>
      <c r="BV277" s="43"/>
      <c r="BW277" s="43"/>
    </row>
    <row r="278" spans="1:75" s="36" customFormat="1">
      <c r="A278" s="5"/>
      <c r="B278" s="5"/>
      <c r="C278" s="5"/>
      <c r="D278" s="39"/>
      <c r="E278" s="39"/>
      <c r="F278" s="39"/>
      <c r="G278" s="5"/>
      <c r="H278" s="132"/>
      <c r="I278" s="3"/>
      <c r="J278" s="3"/>
      <c r="K278" s="3"/>
      <c r="L278" s="3" t="str">
        <f>IFERROR(VLOOKUP(tblSOW9[[#This Row],[Employee name ]],[32]Parameters!CP:CS,4,0),"")</f>
        <v/>
      </c>
      <c r="M278" s="85"/>
      <c r="N278" s="5"/>
      <c r="O278" s="3"/>
      <c r="P278" s="8"/>
      <c r="Q278" s="8"/>
      <c r="R278" s="5"/>
      <c r="S278" s="5"/>
      <c r="T278" s="3"/>
      <c r="U278" s="3"/>
      <c r="V278" s="3"/>
      <c r="W278" s="3"/>
      <c r="X278" s="5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/>
      <c r="BK278" s="43"/>
      <c r="BL278" s="43"/>
      <c r="BM278" s="43"/>
      <c r="BN278" s="43"/>
      <c r="BO278" s="43"/>
      <c r="BP278" s="43"/>
      <c r="BQ278" s="43"/>
      <c r="BR278" s="43"/>
      <c r="BS278" s="43"/>
      <c r="BT278" s="43"/>
      <c r="BU278" s="43"/>
      <c r="BV278" s="43"/>
      <c r="BW278" s="43"/>
    </row>
    <row r="279" spans="1:75" s="36" customFormat="1">
      <c r="A279" s="5"/>
      <c r="B279" s="5"/>
      <c r="C279" s="5"/>
      <c r="D279" s="39"/>
      <c r="E279" s="39"/>
      <c r="F279" s="39"/>
      <c r="G279" s="5"/>
      <c r="H279" s="132"/>
      <c r="I279" s="3"/>
      <c r="J279" s="3"/>
      <c r="K279" s="3"/>
      <c r="L279" s="3" t="str">
        <f>IFERROR(VLOOKUP(tblSOW9[[#This Row],[Employee name ]],[32]Parameters!CP:CS,4,0),"")</f>
        <v/>
      </c>
      <c r="M279" s="85"/>
      <c r="N279" s="5"/>
      <c r="O279" s="3"/>
      <c r="P279" s="8"/>
      <c r="Q279" s="8"/>
      <c r="R279" s="5"/>
      <c r="S279" s="5"/>
      <c r="T279" s="3"/>
      <c r="U279" s="3"/>
      <c r="V279" s="3"/>
      <c r="W279" s="3"/>
      <c r="X279" s="5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  <c r="BB279" s="43"/>
      <c r="BC279" s="43"/>
      <c r="BD279" s="43"/>
      <c r="BE279" s="43"/>
      <c r="BF279" s="43"/>
      <c r="BG279" s="43"/>
      <c r="BH279" s="43"/>
      <c r="BI279" s="43"/>
      <c r="BJ279" s="43"/>
      <c r="BK279" s="43"/>
      <c r="BL279" s="43"/>
      <c r="BM279" s="43"/>
      <c r="BN279" s="43"/>
      <c r="BO279" s="43"/>
      <c r="BP279" s="43"/>
      <c r="BQ279" s="43"/>
      <c r="BR279" s="43"/>
      <c r="BS279" s="43"/>
      <c r="BT279" s="43"/>
      <c r="BU279" s="43"/>
      <c r="BV279" s="43"/>
      <c r="BW279" s="43"/>
    </row>
    <row r="280" spans="1:75" s="36" customFormat="1">
      <c r="A280" s="5"/>
      <c r="B280" s="5"/>
      <c r="C280" s="5"/>
      <c r="D280" s="39"/>
      <c r="E280" s="39"/>
      <c r="F280" s="39"/>
      <c r="G280" s="5"/>
      <c r="H280" s="132"/>
      <c r="I280" s="3"/>
      <c r="J280" s="3"/>
      <c r="K280" s="3"/>
      <c r="L280" s="3" t="str">
        <f>IFERROR(VLOOKUP(tblSOW9[[#This Row],[Employee name ]],[32]Parameters!CP:CS,4,0),"")</f>
        <v/>
      </c>
      <c r="M280" s="85"/>
      <c r="N280" s="5"/>
      <c r="O280" s="3"/>
      <c r="P280" s="8"/>
      <c r="Q280" s="8"/>
      <c r="R280" s="5"/>
      <c r="S280" s="5"/>
      <c r="T280" s="3"/>
      <c r="U280" s="3"/>
      <c r="V280" s="3"/>
      <c r="W280" s="3"/>
      <c r="X280" s="5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  <c r="AU280" s="43"/>
      <c r="AV280" s="43"/>
      <c r="AW280" s="43"/>
      <c r="AX280" s="43"/>
      <c r="AY280" s="43"/>
      <c r="AZ280" s="43"/>
      <c r="BA280" s="43"/>
      <c r="BB280" s="43"/>
      <c r="BC280" s="43"/>
      <c r="BD280" s="43"/>
      <c r="BE280" s="43"/>
      <c r="BF280" s="43"/>
      <c r="BG280" s="43"/>
      <c r="BH280" s="43"/>
      <c r="BI280" s="43"/>
      <c r="BJ280" s="43"/>
      <c r="BK280" s="43"/>
      <c r="BL280" s="43"/>
      <c r="BM280" s="43"/>
      <c r="BN280" s="43"/>
      <c r="BO280" s="43"/>
      <c r="BP280" s="43"/>
      <c r="BQ280" s="43"/>
      <c r="BR280" s="43"/>
      <c r="BS280" s="43"/>
      <c r="BT280" s="43"/>
      <c r="BU280" s="43"/>
      <c r="BV280" s="43"/>
      <c r="BW280" s="43"/>
    </row>
    <row r="281" spans="1:75" s="36" customFormat="1">
      <c r="A281" s="5"/>
      <c r="B281" s="5"/>
      <c r="C281" s="5"/>
      <c r="D281" s="39"/>
      <c r="E281" s="39"/>
      <c r="F281" s="39"/>
      <c r="G281" s="5"/>
      <c r="H281" s="132"/>
      <c r="I281" s="3"/>
      <c r="J281" s="3"/>
      <c r="K281" s="3"/>
      <c r="L281" s="3" t="str">
        <f>IFERROR(VLOOKUP(tblSOW9[[#This Row],[Employee name ]],[32]Parameters!CP:CS,4,0),"")</f>
        <v/>
      </c>
      <c r="M281" s="85"/>
      <c r="N281" s="5"/>
      <c r="O281" s="3"/>
      <c r="P281" s="8"/>
      <c r="Q281" s="8"/>
      <c r="R281" s="5"/>
      <c r="S281" s="5"/>
      <c r="T281" s="3"/>
      <c r="U281" s="3"/>
      <c r="V281" s="3"/>
      <c r="W281" s="3"/>
      <c r="X281" s="5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  <c r="BI281" s="43"/>
      <c r="BJ281" s="43"/>
      <c r="BK281" s="43"/>
      <c r="BL281" s="43"/>
      <c r="BM281" s="43"/>
      <c r="BN281" s="43"/>
      <c r="BO281" s="43"/>
      <c r="BP281" s="43"/>
      <c r="BQ281" s="43"/>
      <c r="BR281" s="43"/>
      <c r="BS281" s="43"/>
      <c r="BT281" s="43"/>
      <c r="BU281" s="43"/>
      <c r="BV281" s="43"/>
      <c r="BW281" s="43"/>
    </row>
    <row r="282" spans="1:75" s="36" customFormat="1">
      <c r="A282" s="5"/>
      <c r="B282" s="5"/>
      <c r="C282" s="5"/>
      <c r="D282" s="39"/>
      <c r="E282" s="39"/>
      <c r="F282" s="39"/>
      <c r="G282" s="5"/>
      <c r="H282" s="132"/>
      <c r="I282" s="3"/>
      <c r="J282" s="3"/>
      <c r="K282" s="3"/>
      <c r="L282" s="3" t="str">
        <f>IFERROR(VLOOKUP(tblSOW9[[#This Row],[Employee name ]],[32]Parameters!CP:CS,4,0),"")</f>
        <v/>
      </c>
      <c r="M282" s="85"/>
      <c r="N282" s="5"/>
      <c r="O282" s="3"/>
      <c r="P282" s="8"/>
      <c r="Q282" s="8"/>
      <c r="R282" s="5"/>
      <c r="S282" s="5"/>
      <c r="T282" s="3"/>
      <c r="U282" s="3"/>
      <c r="V282" s="3"/>
      <c r="W282" s="3"/>
      <c r="X282" s="5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  <c r="BC282" s="43"/>
      <c r="BD282" s="43"/>
      <c r="BE282" s="43"/>
      <c r="BF282" s="43"/>
      <c r="BG282" s="43"/>
      <c r="BH282" s="43"/>
      <c r="BI282" s="43"/>
      <c r="BJ282" s="43"/>
      <c r="BK282" s="43"/>
      <c r="BL282" s="43"/>
      <c r="BM282" s="43"/>
      <c r="BN282" s="43"/>
      <c r="BO282" s="43"/>
      <c r="BP282" s="43"/>
      <c r="BQ282" s="43"/>
      <c r="BR282" s="43"/>
      <c r="BS282" s="43"/>
      <c r="BT282" s="43"/>
      <c r="BU282" s="43"/>
      <c r="BV282" s="43"/>
      <c r="BW282" s="43"/>
    </row>
    <row r="283" spans="1:75" s="36" customFormat="1">
      <c r="A283" s="5"/>
      <c r="B283" s="5"/>
      <c r="C283" s="5"/>
      <c r="D283" s="39"/>
      <c r="E283" s="39"/>
      <c r="F283" s="39"/>
      <c r="G283" s="5"/>
      <c r="H283" s="132"/>
      <c r="I283" s="3"/>
      <c r="J283" s="3"/>
      <c r="K283" s="3"/>
      <c r="L283" s="3" t="str">
        <f>IFERROR(VLOOKUP(tblSOW9[[#This Row],[Employee name ]],[32]Parameters!CP:CS,4,0),"")</f>
        <v/>
      </c>
      <c r="M283" s="85"/>
      <c r="N283" s="5"/>
      <c r="O283" s="3"/>
      <c r="P283" s="8"/>
      <c r="Q283" s="8"/>
      <c r="R283" s="5"/>
      <c r="S283" s="5"/>
      <c r="T283" s="3"/>
      <c r="U283" s="3"/>
      <c r="V283" s="3"/>
      <c r="W283" s="3"/>
      <c r="X283" s="5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  <c r="AT283" s="43"/>
      <c r="AU283" s="43"/>
      <c r="AV283" s="43"/>
      <c r="AW283" s="43"/>
      <c r="AX283" s="43"/>
      <c r="AY283" s="43"/>
      <c r="AZ283" s="43"/>
      <c r="BA283" s="43"/>
      <c r="BB283" s="43"/>
      <c r="BC283" s="43"/>
      <c r="BD283" s="43"/>
      <c r="BE283" s="43"/>
      <c r="BF283" s="43"/>
      <c r="BG283" s="43"/>
      <c r="BH283" s="43"/>
      <c r="BI283" s="43"/>
      <c r="BJ283" s="43"/>
      <c r="BK283" s="43"/>
      <c r="BL283" s="43"/>
      <c r="BM283" s="43"/>
      <c r="BN283" s="43"/>
      <c r="BO283" s="43"/>
      <c r="BP283" s="43"/>
      <c r="BQ283" s="43"/>
      <c r="BR283" s="43"/>
      <c r="BS283" s="43"/>
      <c r="BT283" s="43"/>
      <c r="BU283" s="43"/>
      <c r="BV283" s="43"/>
      <c r="BW283" s="43"/>
    </row>
    <row r="284" spans="1:75" s="36" customFormat="1">
      <c r="A284" s="5"/>
      <c r="B284" s="5"/>
      <c r="C284" s="5"/>
      <c r="D284" s="39"/>
      <c r="E284" s="39"/>
      <c r="F284" s="39"/>
      <c r="G284" s="5"/>
      <c r="H284" s="132"/>
      <c r="I284" s="3"/>
      <c r="J284" s="3"/>
      <c r="K284" s="3"/>
      <c r="L284" s="3" t="str">
        <f>IFERROR(VLOOKUP(tblSOW9[[#This Row],[Employee name ]],[32]Parameters!CP:CS,4,0),"")</f>
        <v/>
      </c>
      <c r="M284" s="85"/>
      <c r="N284" s="5"/>
      <c r="O284" s="3"/>
      <c r="P284" s="8"/>
      <c r="Q284" s="8"/>
      <c r="R284" s="5"/>
      <c r="S284" s="5"/>
      <c r="T284" s="3"/>
      <c r="U284" s="3"/>
      <c r="V284" s="3"/>
      <c r="W284" s="3"/>
      <c r="X284" s="5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  <c r="AT284" s="43"/>
      <c r="AU284" s="43"/>
      <c r="AV284" s="43"/>
      <c r="AW284" s="43"/>
      <c r="AX284" s="43"/>
      <c r="AY284" s="43"/>
      <c r="AZ284" s="43"/>
      <c r="BA284" s="43"/>
      <c r="BB284" s="43"/>
      <c r="BC284" s="43"/>
      <c r="BD284" s="43"/>
      <c r="BE284" s="43"/>
      <c r="BF284" s="43"/>
      <c r="BG284" s="43"/>
      <c r="BH284" s="43"/>
      <c r="BI284" s="43"/>
      <c r="BJ284" s="43"/>
      <c r="BK284" s="43"/>
      <c r="BL284" s="43"/>
      <c r="BM284" s="43"/>
      <c r="BN284" s="43"/>
      <c r="BO284" s="43"/>
      <c r="BP284" s="43"/>
      <c r="BQ284" s="43"/>
      <c r="BR284" s="43"/>
      <c r="BS284" s="43"/>
      <c r="BT284" s="43"/>
      <c r="BU284" s="43"/>
      <c r="BV284" s="43"/>
      <c r="BW284" s="43"/>
    </row>
    <row r="285" spans="1:75" s="36" customFormat="1">
      <c r="A285" s="5"/>
      <c r="B285" s="5"/>
      <c r="C285" s="5"/>
      <c r="D285" s="39"/>
      <c r="E285" s="39"/>
      <c r="F285" s="39"/>
      <c r="G285" s="5"/>
      <c r="H285" s="132"/>
      <c r="I285" s="3"/>
      <c r="J285" s="3"/>
      <c r="K285" s="3"/>
      <c r="L285" s="3" t="str">
        <f>IFERROR(VLOOKUP(tblSOW9[[#This Row],[Employee name ]],[32]Parameters!CP:CS,4,0),"")</f>
        <v/>
      </c>
      <c r="M285" s="85"/>
      <c r="N285" s="5"/>
      <c r="O285" s="3"/>
      <c r="P285" s="8"/>
      <c r="Q285" s="8"/>
      <c r="R285" s="5"/>
      <c r="S285" s="5"/>
      <c r="T285" s="3"/>
      <c r="U285" s="3"/>
      <c r="V285" s="3"/>
      <c r="W285" s="3"/>
      <c r="X285" s="5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  <c r="AU285" s="43"/>
      <c r="AV285" s="43"/>
      <c r="AW285" s="43"/>
      <c r="AX285" s="43"/>
      <c r="AY285" s="43"/>
      <c r="AZ285" s="43"/>
      <c r="BA285" s="43"/>
      <c r="BB285" s="43"/>
      <c r="BC285" s="43"/>
      <c r="BD285" s="43"/>
      <c r="BE285" s="43"/>
      <c r="BF285" s="43"/>
      <c r="BG285" s="43"/>
      <c r="BH285" s="43"/>
      <c r="BI285" s="43"/>
      <c r="BJ285" s="43"/>
      <c r="BK285" s="43"/>
      <c r="BL285" s="43"/>
      <c r="BM285" s="43"/>
      <c r="BN285" s="43"/>
      <c r="BO285" s="43"/>
      <c r="BP285" s="43"/>
      <c r="BQ285" s="43"/>
      <c r="BR285" s="43"/>
      <c r="BS285" s="43"/>
      <c r="BT285" s="43"/>
      <c r="BU285" s="43"/>
      <c r="BV285" s="43"/>
      <c r="BW285" s="43"/>
    </row>
    <row r="286" spans="1:75" s="36" customFormat="1">
      <c r="A286" s="5"/>
      <c r="B286" s="5"/>
      <c r="C286" s="5"/>
      <c r="D286" s="39"/>
      <c r="E286" s="39"/>
      <c r="F286" s="39"/>
      <c r="G286" s="5"/>
      <c r="H286" s="132"/>
      <c r="I286" s="3"/>
      <c r="J286" s="3"/>
      <c r="K286" s="3"/>
      <c r="L286" s="3" t="str">
        <f>IFERROR(VLOOKUP(tblSOW9[[#This Row],[Employee name ]],[32]Parameters!CP:CS,4,0),"")</f>
        <v/>
      </c>
      <c r="M286" s="85"/>
      <c r="N286" s="5"/>
      <c r="O286" s="3"/>
      <c r="P286" s="8"/>
      <c r="Q286" s="8"/>
      <c r="R286" s="5"/>
      <c r="S286" s="5"/>
      <c r="T286" s="3"/>
      <c r="U286" s="3"/>
      <c r="V286" s="3"/>
      <c r="W286" s="3"/>
      <c r="X286" s="5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  <c r="AT286" s="43"/>
      <c r="AU286" s="43"/>
      <c r="AV286" s="43"/>
      <c r="AW286" s="43"/>
      <c r="AX286" s="43"/>
      <c r="AY286" s="43"/>
      <c r="AZ286" s="43"/>
      <c r="BA286" s="43"/>
      <c r="BB286" s="43"/>
      <c r="BC286" s="43"/>
      <c r="BD286" s="43"/>
      <c r="BE286" s="43"/>
      <c r="BF286" s="43"/>
      <c r="BG286" s="43"/>
      <c r="BH286" s="43"/>
      <c r="BI286" s="43"/>
      <c r="BJ286" s="43"/>
      <c r="BK286" s="43"/>
      <c r="BL286" s="43"/>
      <c r="BM286" s="43"/>
      <c r="BN286" s="43"/>
      <c r="BO286" s="43"/>
      <c r="BP286" s="43"/>
      <c r="BQ286" s="43"/>
      <c r="BR286" s="43"/>
      <c r="BS286" s="43"/>
      <c r="BT286" s="43"/>
      <c r="BU286" s="43"/>
      <c r="BV286" s="43"/>
      <c r="BW286" s="43"/>
    </row>
    <row r="287" spans="1:75" s="36" customFormat="1">
      <c r="A287" s="5"/>
      <c r="B287" s="5"/>
      <c r="C287" s="5"/>
      <c r="D287" s="39"/>
      <c r="E287" s="39"/>
      <c r="F287" s="39"/>
      <c r="G287" s="5"/>
      <c r="H287" s="132"/>
      <c r="I287" s="3"/>
      <c r="J287" s="3"/>
      <c r="K287" s="3"/>
      <c r="L287" s="3" t="str">
        <f>IFERROR(VLOOKUP(tblSOW9[[#This Row],[Employee name ]],[32]Parameters!CP:CS,4,0),"")</f>
        <v/>
      </c>
      <c r="M287" s="85"/>
      <c r="N287" s="5"/>
      <c r="O287" s="3"/>
      <c r="P287" s="8"/>
      <c r="Q287" s="8"/>
      <c r="R287" s="5"/>
      <c r="S287" s="5"/>
      <c r="T287" s="3"/>
      <c r="U287" s="3"/>
      <c r="V287" s="3"/>
      <c r="W287" s="3"/>
      <c r="X287" s="5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  <c r="AU287" s="43"/>
      <c r="AV287" s="43"/>
      <c r="AW287" s="43"/>
      <c r="AX287" s="43"/>
      <c r="AY287" s="43"/>
      <c r="AZ287" s="43"/>
      <c r="BA287" s="43"/>
      <c r="BB287" s="43"/>
      <c r="BC287" s="43"/>
      <c r="BD287" s="43"/>
      <c r="BE287" s="43"/>
      <c r="BF287" s="43"/>
      <c r="BG287" s="43"/>
      <c r="BH287" s="43"/>
      <c r="BI287" s="43"/>
      <c r="BJ287" s="43"/>
      <c r="BK287" s="43"/>
      <c r="BL287" s="43"/>
      <c r="BM287" s="43"/>
      <c r="BN287" s="43"/>
      <c r="BO287" s="43"/>
      <c r="BP287" s="43"/>
      <c r="BQ287" s="43"/>
      <c r="BR287" s="43"/>
      <c r="BS287" s="43"/>
      <c r="BT287" s="43"/>
      <c r="BU287" s="43"/>
      <c r="BV287" s="43"/>
      <c r="BW287" s="43"/>
    </row>
    <row r="288" spans="1:75" s="36" customFormat="1">
      <c r="A288" s="5"/>
      <c r="B288" s="5"/>
      <c r="C288" s="5"/>
      <c r="D288" s="39"/>
      <c r="E288" s="39"/>
      <c r="F288" s="39"/>
      <c r="G288" s="5"/>
      <c r="H288" s="132"/>
      <c r="I288" s="3"/>
      <c r="J288" s="3"/>
      <c r="K288" s="3"/>
      <c r="L288" s="3" t="str">
        <f>IFERROR(VLOOKUP(tblSOW9[[#This Row],[Employee name ]],[32]Parameters!CP:CS,4,0),"")</f>
        <v/>
      </c>
      <c r="M288" s="85"/>
      <c r="N288" s="5"/>
      <c r="O288" s="3"/>
      <c r="P288" s="8"/>
      <c r="Q288" s="8"/>
      <c r="R288" s="5"/>
      <c r="S288" s="5"/>
      <c r="T288" s="3"/>
      <c r="U288" s="3"/>
      <c r="V288" s="3"/>
      <c r="W288" s="3"/>
      <c r="X288" s="5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  <c r="AT288" s="43"/>
      <c r="AU288" s="43"/>
      <c r="AV288" s="43"/>
      <c r="AW288" s="43"/>
      <c r="AX288" s="43"/>
      <c r="AY288" s="43"/>
      <c r="AZ288" s="43"/>
      <c r="BA288" s="43"/>
      <c r="BB288" s="43"/>
      <c r="BC288" s="43"/>
      <c r="BD288" s="43"/>
      <c r="BE288" s="43"/>
      <c r="BF288" s="43"/>
      <c r="BG288" s="43"/>
      <c r="BH288" s="43"/>
      <c r="BI288" s="43"/>
      <c r="BJ288" s="43"/>
      <c r="BK288" s="43"/>
      <c r="BL288" s="43"/>
      <c r="BM288" s="43"/>
      <c r="BN288" s="43"/>
      <c r="BO288" s="43"/>
      <c r="BP288" s="43"/>
      <c r="BQ288" s="43"/>
      <c r="BR288" s="43"/>
      <c r="BS288" s="43"/>
      <c r="BT288" s="43"/>
      <c r="BU288" s="43"/>
      <c r="BV288" s="43"/>
      <c r="BW288" s="43"/>
    </row>
    <row r="289" spans="1:75" s="36" customFormat="1">
      <c r="A289" s="5"/>
      <c r="B289" s="5"/>
      <c r="C289" s="5"/>
      <c r="D289" s="39"/>
      <c r="E289" s="39"/>
      <c r="F289" s="39"/>
      <c r="G289" s="5"/>
      <c r="H289" s="132"/>
      <c r="I289" s="3"/>
      <c r="J289" s="3"/>
      <c r="K289" s="3"/>
      <c r="L289" s="3" t="str">
        <f>IFERROR(VLOOKUP(tblSOW9[[#This Row],[Employee name ]],[32]Parameters!CP:CS,4,0),"")</f>
        <v/>
      </c>
      <c r="M289" s="85"/>
      <c r="N289" s="5"/>
      <c r="O289" s="3"/>
      <c r="P289" s="8"/>
      <c r="Q289" s="8"/>
      <c r="R289" s="5"/>
      <c r="S289" s="5"/>
      <c r="T289" s="3"/>
      <c r="U289" s="3"/>
      <c r="V289" s="3"/>
      <c r="W289" s="3"/>
      <c r="X289" s="5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  <c r="AT289" s="43"/>
      <c r="AU289" s="43"/>
      <c r="AV289" s="43"/>
      <c r="AW289" s="43"/>
      <c r="AX289" s="43"/>
      <c r="AY289" s="43"/>
      <c r="AZ289" s="43"/>
      <c r="BA289" s="43"/>
      <c r="BB289" s="43"/>
      <c r="BC289" s="43"/>
      <c r="BD289" s="43"/>
      <c r="BE289" s="43"/>
      <c r="BF289" s="43"/>
      <c r="BG289" s="43"/>
      <c r="BH289" s="43"/>
      <c r="BI289" s="43"/>
      <c r="BJ289" s="43"/>
      <c r="BK289" s="43"/>
      <c r="BL289" s="43"/>
      <c r="BM289" s="43"/>
      <c r="BN289" s="43"/>
      <c r="BO289" s="43"/>
      <c r="BP289" s="43"/>
      <c r="BQ289" s="43"/>
      <c r="BR289" s="43"/>
      <c r="BS289" s="43"/>
      <c r="BT289" s="43"/>
      <c r="BU289" s="43"/>
      <c r="BV289" s="43"/>
      <c r="BW289" s="43"/>
    </row>
    <row r="290" spans="1:75" s="36" customFormat="1">
      <c r="A290" s="5"/>
      <c r="B290" s="5"/>
      <c r="C290" s="5"/>
      <c r="D290" s="39"/>
      <c r="E290" s="39"/>
      <c r="F290" s="39"/>
      <c r="G290" s="5"/>
      <c r="H290" s="132"/>
      <c r="I290" s="3"/>
      <c r="J290" s="3"/>
      <c r="K290" s="3"/>
      <c r="L290" s="3" t="str">
        <f>IFERROR(VLOOKUP(tblSOW9[[#This Row],[Employee name ]],[32]Parameters!CP:CS,4,0),"")</f>
        <v/>
      </c>
      <c r="M290" s="85"/>
      <c r="N290" s="5"/>
      <c r="O290" s="3"/>
      <c r="P290" s="8"/>
      <c r="Q290" s="8"/>
      <c r="R290" s="5"/>
      <c r="S290" s="5"/>
      <c r="T290" s="3"/>
      <c r="U290" s="3"/>
      <c r="V290" s="3"/>
      <c r="W290" s="3"/>
      <c r="X290" s="5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  <c r="AT290" s="43"/>
      <c r="AU290" s="43"/>
      <c r="AV290" s="43"/>
      <c r="AW290" s="43"/>
      <c r="AX290" s="43"/>
      <c r="AY290" s="43"/>
      <c r="AZ290" s="43"/>
      <c r="BA290" s="43"/>
      <c r="BB290" s="43"/>
      <c r="BC290" s="43"/>
      <c r="BD290" s="43"/>
      <c r="BE290" s="43"/>
      <c r="BF290" s="43"/>
      <c r="BG290" s="43"/>
      <c r="BH290" s="43"/>
      <c r="BI290" s="43"/>
      <c r="BJ290" s="43"/>
      <c r="BK290" s="43"/>
      <c r="BL290" s="43"/>
      <c r="BM290" s="43"/>
      <c r="BN290" s="43"/>
      <c r="BO290" s="43"/>
      <c r="BP290" s="43"/>
      <c r="BQ290" s="43"/>
      <c r="BR290" s="43"/>
      <c r="BS290" s="43"/>
      <c r="BT290" s="43"/>
      <c r="BU290" s="43"/>
      <c r="BV290" s="43"/>
      <c r="BW290" s="43"/>
    </row>
    <row r="291" spans="1:75" s="36" customFormat="1">
      <c r="A291" s="5"/>
      <c r="B291" s="5"/>
      <c r="C291" s="5"/>
      <c r="D291" s="39"/>
      <c r="E291" s="39"/>
      <c r="F291" s="39"/>
      <c r="G291" s="5"/>
      <c r="H291" s="132"/>
      <c r="I291" s="3"/>
      <c r="J291" s="3"/>
      <c r="K291" s="3"/>
      <c r="L291" s="3" t="str">
        <f>IFERROR(VLOOKUP(tblSOW9[[#This Row],[Employee name ]],[32]Parameters!CP:CS,4,0),"")</f>
        <v/>
      </c>
      <c r="M291" s="85"/>
      <c r="N291" s="5"/>
      <c r="O291" s="3"/>
      <c r="P291" s="8"/>
      <c r="Q291" s="8"/>
      <c r="R291" s="5"/>
      <c r="S291" s="5"/>
      <c r="T291" s="3"/>
      <c r="U291" s="3"/>
      <c r="V291" s="3"/>
      <c r="W291" s="3"/>
      <c r="X291" s="5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  <c r="AT291" s="43"/>
      <c r="AU291" s="43"/>
      <c r="AV291" s="43"/>
      <c r="AW291" s="43"/>
      <c r="AX291" s="43"/>
      <c r="AY291" s="43"/>
      <c r="AZ291" s="43"/>
      <c r="BA291" s="43"/>
      <c r="BB291" s="43"/>
      <c r="BC291" s="43"/>
      <c r="BD291" s="43"/>
      <c r="BE291" s="43"/>
      <c r="BF291" s="43"/>
      <c r="BG291" s="43"/>
      <c r="BH291" s="43"/>
      <c r="BI291" s="43"/>
      <c r="BJ291" s="43"/>
      <c r="BK291" s="43"/>
      <c r="BL291" s="43"/>
      <c r="BM291" s="43"/>
      <c r="BN291" s="43"/>
      <c r="BO291" s="43"/>
      <c r="BP291" s="43"/>
      <c r="BQ291" s="43"/>
      <c r="BR291" s="43"/>
      <c r="BS291" s="43"/>
      <c r="BT291" s="43"/>
      <c r="BU291" s="43"/>
      <c r="BV291" s="43"/>
      <c r="BW291" s="43"/>
    </row>
    <row r="292" spans="1:75" s="36" customFormat="1">
      <c r="A292" s="5"/>
      <c r="B292" s="5"/>
      <c r="C292" s="5"/>
      <c r="D292" s="39"/>
      <c r="E292" s="39"/>
      <c r="F292" s="39"/>
      <c r="G292" s="5"/>
      <c r="H292" s="132"/>
      <c r="I292" s="3"/>
      <c r="J292" s="3"/>
      <c r="K292" s="3"/>
      <c r="L292" s="3" t="str">
        <f>IFERROR(VLOOKUP(tblSOW9[[#This Row],[Employee name ]],[32]Parameters!CP:CS,4,0),"")</f>
        <v/>
      </c>
      <c r="M292" s="85"/>
      <c r="N292" s="5"/>
      <c r="O292" s="3"/>
      <c r="P292" s="8"/>
      <c r="Q292" s="8"/>
      <c r="R292" s="5"/>
      <c r="S292" s="5"/>
      <c r="T292" s="3"/>
      <c r="U292" s="3"/>
      <c r="V292" s="3"/>
      <c r="W292" s="3"/>
      <c r="X292" s="5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  <c r="AT292" s="43"/>
      <c r="AU292" s="43"/>
      <c r="AV292" s="43"/>
      <c r="AW292" s="43"/>
      <c r="AX292" s="43"/>
      <c r="AY292" s="43"/>
      <c r="AZ292" s="43"/>
      <c r="BA292" s="43"/>
      <c r="BB292" s="43"/>
      <c r="BC292" s="43"/>
      <c r="BD292" s="43"/>
      <c r="BE292" s="43"/>
      <c r="BF292" s="43"/>
      <c r="BG292" s="43"/>
      <c r="BH292" s="43"/>
      <c r="BI292" s="43"/>
      <c r="BJ292" s="43"/>
      <c r="BK292" s="43"/>
      <c r="BL292" s="43"/>
      <c r="BM292" s="43"/>
      <c r="BN292" s="43"/>
      <c r="BO292" s="43"/>
      <c r="BP292" s="43"/>
      <c r="BQ292" s="43"/>
      <c r="BR292" s="43"/>
      <c r="BS292" s="43"/>
      <c r="BT292" s="43"/>
      <c r="BU292" s="43"/>
      <c r="BV292" s="43"/>
      <c r="BW292" s="43"/>
    </row>
    <row r="293" spans="1:75" s="36" customFormat="1">
      <c r="A293" s="5"/>
      <c r="B293" s="5"/>
      <c r="C293" s="5"/>
      <c r="D293" s="39"/>
      <c r="E293" s="39"/>
      <c r="F293" s="39"/>
      <c r="G293" s="5"/>
      <c r="H293" s="132"/>
      <c r="I293" s="3"/>
      <c r="J293" s="3"/>
      <c r="K293" s="3"/>
      <c r="L293" s="3" t="str">
        <f>IFERROR(VLOOKUP(tblSOW9[[#This Row],[Employee name ]],[32]Parameters!CP:CS,4,0),"")</f>
        <v/>
      </c>
      <c r="M293" s="85"/>
      <c r="N293" s="5"/>
      <c r="O293" s="3"/>
      <c r="P293" s="8"/>
      <c r="Q293" s="8"/>
      <c r="R293" s="5"/>
      <c r="S293" s="5"/>
      <c r="T293" s="3"/>
      <c r="U293" s="3"/>
      <c r="V293" s="5"/>
      <c r="W293" s="5"/>
      <c r="X293" s="5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  <c r="AU293" s="43"/>
      <c r="AV293" s="43"/>
      <c r="AW293" s="43"/>
      <c r="AX293" s="43"/>
      <c r="AY293" s="43"/>
      <c r="AZ293" s="43"/>
      <c r="BA293" s="43"/>
      <c r="BB293" s="43"/>
      <c r="BC293" s="43"/>
      <c r="BD293" s="43"/>
      <c r="BE293" s="43"/>
      <c r="BF293" s="43"/>
      <c r="BG293" s="43"/>
      <c r="BH293" s="43"/>
      <c r="BI293" s="43"/>
      <c r="BJ293" s="43"/>
      <c r="BK293" s="43"/>
      <c r="BL293" s="43"/>
      <c r="BM293" s="43"/>
      <c r="BN293" s="43"/>
      <c r="BO293" s="43"/>
      <c r="BP293" s="43"/>
      <c r="BQ293" s="43"/>
      <c r="BR293" s="43"/>
      <c r="BS293" s="43"/>
      <c r="BT293" s="43"/>
      <c r="BU293" s="43"/>
      <c r="BV293" s="43"/>
      <c r="BW293" s="43"/>
    </row>
    <row r="294" spans="1:75" s="36" customFormat="1">
      <c r="A294" s="5"/>
      <c r="B294" s="5"/>
      <c r="C294" s="5"/>
      <c r="D294" s="39"/>
      <c r="E294" s="39"/>
      <c r="F294" s="39"/>
      <c r="G294" s="5"/>
      <c r="H294" s="132"/>
      <c r="I294" s="3"/>
      <c r="J294" s="3"/>
      <c r="K294" s="3"/>
      <c r="L294" s="3" t="str">
        <f>IFERROR(VLOOKUP(tblSOW9[[#This Row],[Employee name ]],[32]Parameters!CP:CS,4,0),"")</f>
        <v/>
      </c>
      <c r="M294" s="85"/>
      <c r="N294" s="5"/>
      <c r="O294" s="3"/>
      <c r="P294" s="8"/>
      <c r="Q294" s="8"/>
      <c r="R294" s="5"/>
      <c r="S294" s="5"/>
      <c r="T294" s="3"/>
      <c r="U294" s="3"/>
      <c r="V294" s="5"/>
      <c r="W294" s="5"/>
      <c r="X294" s="5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  <c r="AU294" s="43"/>
      <c r="AV294" s="43"/>
      <c r="AW294" s="43"/>
      <c r="AX294" s="43"/>
      <c r="AY294" s="43"/>
      <c r="AZ294" s="43"/>
      <c r="BA294" s="43"/>
      <c r="BB294" s="43"/>
      <c r="BC294" s="43"/>
      <c r="BD294" s="43"/>
      <c r="BE294" s="43"/>
      <c r="BF294" s="43"/>
      <c r="BG294" s="43"/>
      <c r="BH294" s="43"/>
      <c r="BI294" s="43"/>
      <c r="BJ294" s="43"/>
      <c r="BK294" s="43"/>
      <c r="BL294" s="43"/>
      <c r="BM294" s="43"/>
      <c r="BN294" s="43"/>
      <c r="BO294" s="43"/>
      <c r="BP294" s="43"/>
      <c r="BQ294" s="43"/>
      <c r="BR294" s="43"/>
      <c r="BS294" s="43"/>
      <c r="BT294" s="43"/>
      <c r="BU294" s="43"/>
      <c r="BV294" s="43"/>
      <c r="BW294" s="43"/>
    </row>
    <row r="295" spans="1:75" s="36" customFormat="1">
      <c r="A295" s="5"/>
      <c r="B295" s="5"/>
      <c r="C295" s="5"/>
      <c r="D295" s="39"/>
      <c r="E295" s="39"/>
      <c r="F295" s="39"/>
      <c r="G295" s="5"/>
      <c r="H295" s="132"/>
      <c r="I295" s="3"/>
      <c r="J295" s="3"/>
      <c r="K295" s="3"/>
      <c r="L295" s="3" t="str">
        <f>IFERROR(VLOOKUP(tblSOW9[[#This Row],[Employee name ]],[32]Parameters!CP:CS,4,0),"")</f>
        <v/>
      </c>
      <c r="M295" s="85"/>
      <c r="N295" s="5"/>
      <c r="O295" s="3"/>
      <c r="P295" s="8"/>
      <c r="Q295" s="8"/>
      <c r="R295" s="5"/>
      <c r="S295" s="5"/>
      <c r="T295" s="3"/>
      <c r="U295" s="3"/>
      <c r="V295" s="5"/>
      <c r="W295" s="5"/>
      <c r="X295" s="5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  <c r="AT295" s="43"/>
      <c r="AU295" s="43"/>
      <c r="AV295" s="43"/>
      <c r="AW295" s="43"/>
      <c r="AX295" s="43"/>
      <c r="AY295" s="43"/>
      <c r="AZ295" s="43"/>
      <c r="BA295" s="43"/>
      <c r="BB295" s="43"/>
      <c r="BC295" s="43"/>
      <c r="BD295" s="43"/>
      <c r="BE295" s="43"/>
      <c r="BF295" s="43"/>
      <c r="BG295" s="43"/>
      <c r="BH295" s="43"/>
      <c r="BI295" s="43"/>
      <c r="BJ295" s="43"/>
      <c r="BK295" s="43"/>
      <c r="BL295" s="43"/>
      <c r="BM295" s="43"/>
      <c r="BN295" s="43"/>
      <c r="BO295" s="43"/>
      <c r="BP295" s="43"/>
      <c r="BQ295" s="43"/>
      <c r="BR295" s="43"/>
      <c r="BS295" s="43"/>
      <c r="BT295" s="43"/>
      <c r="BU295" s="43"/>
      <c r="BV295" s="43"/>
      <c r="BW295" s="43"/>
    </row>
    <row r="296" spans="1:75" s="36" customFormat="1">
      <c r="A296" s="5"/>
      <c r="B296" s="5"/>
      <c r="C296" s="5"/>
      <c r="D296" s="39"/>
      <c r="E296" s="39"/>
      <c r="F296" s="39"/>
      <c r="G296" s="5"/>
      <c r="H296" s="132"/>
      <c r="I296" s="3"/>
      <c r="J296" s="3"/>
      <c r="K296" s="3"/>
      <c r="L296" s="3" t="str">
        <f>IFERROR(VLOOKUP(tblSOW9[[#This Row],[Employee name ]],[32]Parameters!CP:CS,4,0),"")</f>
        <v/>
      </c>
      <c r="M296" s="85"/>
      <c r="N296" s="5"/>
      <c r="O296" s="3"/>
      <c r="P296" s="8"/>
      <c r="Q296" s="8"/>
      <c r="R296" s="5"/>
      <c r="S296" s="5"/>
      <c r="T296" s="3"/>
      <c r="U296" s="3"/>
      <c r="V296" s="5"/>
      <c r="W296" s="5"/>
      <c r="X296" s="5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  <c r="AT296" s="43"/>
      <c r="AU296" s="43"/>
      <c r="AV296" s="43"/>
      <c r="AW296" s="43"/>
      <c r="AX296" s="43"/>
      <c r="AY296" s="43"/>
      <c r="AZ296" s="43"/>
      <c r="BA296" s="43"/>
      <c r="BB296" s="43"/>
      <c r="BC296" s="43"/>
      <c r="BD296" s="43"/>
      <c r="BE296" s="43"/>
      <c r="BF296" s="43"/>
      <c r="BG296" s="43"/>
      <c r="BH296" s="43"/>
      <c r="BI296" s="43"/>
      <c r="BJ296" s="43"/>
      <c r="BK296" s="43"/>
      <c r="BL296" s="43"/>
      <c r="BM296" s="43"/>
      <c r="BN296" s="43"/>
      <c r="BO296" s="43"/>
      <c r="BP296" s="43"/>
      <c r="BQ296" s="43"/>
      <c r="BR296" s="43"/>
      <c r="BS296" s="43"/>
      <c r="BT296" s="43"/>
      <c r="BU296" s="43"/>
      <c r="BV296" s="43"/>
      <c r="BW296" s="43"/>
    </row>
    <row r="297" spans="1:75" s="36" customFormat="1">
      <c r="A297" s="5"/>
      <c r="B297" s="5"/>
      <c r="C297" s="5"/>
      <c r="D297" s="39"/>
      <c r="E297" s="39"/>
      <c r="F297" s="39"/>
      <c r="G297" s="5"/>
      <c r="H297" s="132"/>
      <c r="I297" s="3"/>
      <c r="J297" s="3"/>
      <c r="K297" s="3"/>
      <c r="L297" s="3" t="str">
        <f>IFERROR(VLOOKUP(tblSOW9[[#This Row],[Employee name ]],[32]Parameters!CP:CS,4,0),"")</f>
        <v/>
      </c>
      <c r="M297" s="85"/>
      <c r="N297" s="5"/>
      <c r="O297" s="3"/>
      <c r="P297" s="8"/>
      <c r="Q297" s="8"/>
      <c r="R297" s="5"/>
      <c r="S297" s="5"/>
      <c r="T297" s="3"/>
      <c r="U297" s="3"/>
      <c r="V297" s="5"/>
      <c r="W297" s="5"/>
      <c r="X297" s="5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  <c r="AU297" s="43"/>
      <c r="AV297" s="43"/>
      <c r="AW297" s="43"/>
      <c r="AX297" s="43"/>
      <c r="AY297" s="43"/>
      <c r="AZ297" s="43"/>
      <c r="BA297" s="43"/>
      <c r="BB297" s="43"/>
      <c r="BC297" s="43"/>
      <c r="BD297" s="43"/>
      <c r="BE297" s="43"/>
      <c r="BF297" s="43"/>
      <c r="BG297" s="43"/>
      <c r="BH297" s="43"/>
      <c r="BI297" s="43"/>
      <c r="BJ297" s="43"/>
      <c r="BK297" s="43"/>
      <c r="BL297" s="43"/>
      <c r="BM297" s="43"/>
      <c r="BN297" s="43"/>
      <c r="BO297" s="43"/>
      <c r="BP297" s="43"/>
      <c r="BQ297" s="43"/>
      <c r="BR297" s="43"/>
      <c r="BS297" s="43"/>
      <c r="BT297" s="43"/>
      <c r="BU297" s="43"/>
      <c r="BV297" s="43"/>
      <c r="BW297" s="43"/>
    </row>
    <row r="298" spans="1:75" s="36" customFormat="1">
      <c r="A298" s="5"/>
      <c r="B298" s="5"/>
      <c r="C298" s="5"/>
      <c r="D298" s="39"/>
      <c r="E298" s="39"/>
      <c r="F298" s="39"/>
      <c r="G298" s="5"/>
      <c r="H298" s="132"/>
      <c r="I298" s="3"/>
      <c r="J298" s="3"/>
      <c r="K298" s="3"/>
      <c r="L298" s="3" t="str">
        <f>IFERROR(VLOOKUP(tblSOW9[[#This Row],[Employee name ]],[32]Parameters!CP:CS,4,0),"")</f>
        <v/>
      </c>
      <c r="M298" s="85"/>
      <c r="N298" s="5"/>
      <c r="O298" s="3"/>
      <c r="P298" s="8"/>
      <c r="Q298" s="8"/>
      <c r="R298" s="5"/>
      <c r="S298" s="5"/>
      <c r="T298" s="3"/>
      <c r="U298" s="3"/>
      <c r="V298" s="5"/>
      <c r="W298" s="5"/>
      <c r="X298" s="5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  <c r="AT298" s="43"/>
      <c r="AU298" s="43"/>
      <c r="AV298" s="43"/>
      <c r="AW298" s="43"/>
      <c r="AX298" s="43"/>
      <c r="AY298" s="43"/>
      <c r="AZ298" s="43"/>
      <c r="BA298" s="43"/>
      <c r="BB298" s="43"/>
      <c r="BC298" s="43"/>
      <c r="BD298" s="43"/>
      <c r="BE298" s="43"/>
      <c r="BF298" s="43"/>
      <c r="BG298" s="43"/>
      <c r="BH298" s="43"/>
      <c r="BI298" s="43"/>
      <c r="BJ298" s="43"/>
      <c r="BK298" s="43"/>
      <c r="BL298" s="43"/>
      <c r="BM298" s="43"/>
      <c r="BN298" s="43"/>
      <c r="BO298" s="43"/>
      <c r="BP298" s="43"/>
      <c r="BQ298" s="43"/>
      <c r="BR298" s="43"/>
      <c r="BS298" s="43"/>
      <c r="BT298" s="43"/>
      <c r="BU298" s="43"/>
      <c r="BV298" s="43"/>
      <c r="BW298" s="43"/>
    </row>
    <row r="299" spans="1:75" s="36" customFormat="1">
      <c r="A299" s="5"/>
      <c r="B299" s="5"/>
      <c r="C299" s="5"/>
      <c r="D299" s="39"/>
      <c r="E299" s="39"/>
      <c r="F299" s="39"/>
      <c r="G299" s="5"/>
      <c r="H299" s="132"/>
      <c r="I299" s="3"/>
      <c r="J299" s="3"/>
      <c r="K299" s="3"/>
      <c r="L299" s="3" t="str">
        <f>IFERROR(VLOOKUP(tblSOW9[[#This Row],[Employee name ]],[32]Parameters!CP:CS,4,0),"")</f>
        <v/>
      </c>
      <c r="M299" s="85"/>
      <c r="N299" s="5"/>
      <c r="O299" s="3"/>
      <c r="P299" s="8"/>
      <c r="Q299" s="8"/>
      <c r="R299" s="5"/>
      <c r="S299" s="5"/>
      <c r="T299" s="3"/>
      <c r="U299" s="3"/>
      <c r="V299" s="5"/>
      <c r="W299" s="5"/>
      <c r="X299" s="5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  <c r="AT299" s="43"/>
      <c r="AU299" s="43"/>
      <c r="AV299" s="43"/>
      <c r="AW299" s="43"/>
      <c r="AX299" s="43"/>
      <c r="AY299" s="43"/>
      <c r="AZ299" s="43"/>
      <c r="BA299" s="43"/>
      <c r="BB299" s="43"/>
      <c r="BC299" s="43"/>
      <c r="BD299" s="43"/>
      <c r="BE299" s="43"/>
      <c r="BF299" s="43"/>
      <c r="BG299" s="43"/>
      <c r="BH299" s="43"/>
      <c r="BI299" s="43"/>
      <c r="BJ299" s="43"/>
      <c r="BK299" s="43"/>
      <c r="BL299" s="43"/>
      <c r="BM299" s="43"/>
      <c r="BN299" s="43"/>
      <c r="BO299" s="43"/>
      <c r="BP299" s="43"/>
      <c r="BQ299" s="43"/>
      <c r="BR299" s="43"/>
      <c r="BS299" s="43"/>
      <c r="BT299" s="43"/>
      <c r="BU299" s="43"/>
      <c r="BV299" s="43"/>
      <c r="BW299" s="43"/>
    </row>
    <row r="300" spans="1:75" s="36" customFormat="1">
      <c r="A300" s="5"/>
      <c r="B300" s="5"/>
      <c r="C300" s="5"/>
      <c r="D300" s="39"/>
      <c r="E300" s="39"/>
      <c r="F300" s="39"/>
      <c r="G300" s="5"/>
      <c r="H300" s="132"/>
      <c r="I300" s="3"/>
      <c r="J300" s="3"/>
      <c r="K300" s="3"/>
      <c r="L300" s="3" t="str">
        <f>IFERROR(VLOOKUP(tblSOW9[[#This Row],[Employee name ]],[32]Parameters!CP:CS,4,0),"")</f>
        <v/>
      </c>
      <c r="M300" s="85"/>
      <c r="N300" s="5"/>
      <c r="O300" s="3"/>
      <c r="P300" s="8"/>
      <c r="Q300" s="8"/>
      <c r="R300" s="5"/>
      <c r="S300" s="5"/>
      <c r="T300" s="3"/>
      <c r="U300" s="3"/>
      <c r="V300" s="5"/>
      <c r="W300" s="5"/>
      <c r="X300" s="5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  <c r="AT300" s="43"/>
      <c r="AU300" s="43"/>
      <c r="AV300" s="43"/>
      <c r="AW300" s="43"/>
      <c r="AX300" s="43"/>
      <c r="AY300" s="43"/>
      <c r="AZ300" s="43"/>
      <c r="BA300" s="43"/>
      <c r="BB300" s="43"/>
      <c r="BC300" s="43"/>
      <c r="BD300" s="43"/>
      <c r="BE300" s="43"/>
      <c r="BF300" s="43"/>
      <c r="BG300" s="43"/>
      <c r="BH300" s="43"/>
      <c r="BI300" s="43"/>
      <c r="BJ300" s="43"/>
      <c r="BK300" s="43"/>
      <c r="BL300" s="43"/>
      <c r="BM300" s="43"/>
      <c r="BN300" s="43"/>
      <c r="BO300" s="43"/>
      <c r="BP300" s="43"/>
      <c r="BQ300" s="43"/>
      <c r="BR300" s="43"/>
      <c r="BS300" s="43"/>
      <c r="BT300" s="43"/>
      <c r="BU300" s="43"/>
      <c r="BV300" s="43"/>
      <c r="BW300" s="43"/>
    </row>
    <row r="301" spans="1:75" s="36" customFormat="1">
      <c r="A301" s="5"/>
      <c r="B301" s="5"/>
      <c r="C301" s="5"/>
      <c r="D301" s="39"/>
      <c r="E301" s="39"/>
      <c r="F301" s="39"/>
      <c r="G301" s="5"/>
      <c r="H301" s="132"/>
      <c r="I301" s="3"/>
      <c r="J301" s="3"/>
      <c r="K301" s="3"/>
      <c r="L301" s="3" t="str">
        <f>IFERROR(VLOOKUP(tblSOW9[[#This Row],[Employee name ]],[32]Parameters!CP:CS,4,0),"")</f>
        <v/>
      </c>
      <c r="M301" s="85"/>
      <c r="N301" s="5"/>
      <c r="O301" s="3"/>
      <c r="P301" s="8"/>
      <c r="Q301" s="8"/>
      <c r="R301" s="5"/>
      <c r="S301" s="5"/>
      <c r="T301" s="3"/>
      <c r="U301" s="3"/>
      <c r="V301" s="5"/>
      <c r="W301" s="5"/>
      <c r="X301" s="5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  <c r="AT301" s="43"/>
      <c r="AU301" s="43"/>
      <c r="AV301" s="43"/>
      <c r="AW301" s="43"/>
      <c r="AX301" s="43"/>
      <c r="AY301" s="43"/>
      <c r="AZ301" s="43"/>
      <c r="BA301" s="43"/>
      <c r="BB301" s="43"/>
      <c r="BC301" s="43"/>
      <c r="BD301" s="43"/>
      <c r="BE301" s="43"/>
      <c r="BF301" s="43"/>
      <c r="BG301" s="43"/>
      <c r="BH301" s="43"/>
      <c r="BI301" s="43"/>
      <c r="BJ301" s="43"/>
      <c r="BK301" s="43"/>
      <c r="BL301" s="43"/>
      <c r="BM301" s="43"/>
      <c r="BN301" s="43"/>
      <c r="BO301" s="43"/>
      <c r="BP301" s="43"/>
      <c r="BQ301" s="43"/>
      <c r="BR301" s="43"/>
      <c r="BS301" s="43"/>
      <c r="BT301" s="43"/>
      <c r="BU301" s="43"/>
      <c r="BV301" s="43"/>
      <c r="BW301" s="43"/>
    </row>
    <row r="302" spans="1:75" s="36" customFormat="1">
      <c r="A302" s="5"/>
      <c r="B302" s="5"/>
      <c r="C302" s="5"/>
      <c r="D302" s="39"/>
      <c r="E302" s="39"/>
      <c r="F302" s="39"/>
      <c r="G302" s="5"/>
      <c r="H302" s="132"/>
      <c r="I302" s="3"/>
      <c r="J302" s="3"/>
      <c r="K302" s="3"/>
      <c r="L302" s="3" t="str">
        <f>IFERROR(VLOOKUP(tblSOW9[[#This Row],[Employee name ]],[32]Parameters!CP:CS,4,0),"")</f>
        <v/>
      </c>
      <c r="M302" s="85"/>
      <c r="N302" s="5"/>
      <c r="O302" s="3"/>
      <c r="P302" s="8"/>
      <c r="Q302" s="8"/>
      <c r="R302" s="5"/>
      <c r="S302" s="5"/>
      <c r="T302" s="3"/>
      <c r="U302" s="3"/>
      <c r="V302" s="3"/>
      <c r="W302" s="3"/>
      <c r="X302" s="5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  <c r="AT302" s="43"/>
      <c r="AU302" s="43"/>
      <c r="AV302" s="43"/>
      <c r="AW302" s="43"/>
      <c r="AX302" s="43"/>
      <c r="AY302" s="43"/>
      <c r="AZ302" s="43"/>
      <c r="BA302" s="43"/>
      <c r="BB302" s="43"/>
      <c r="BC302" s="43"/>
      <c r="BD302" s="43"/>
      <c r="BE302" s="43"/>
      <c r="BF302" s="43"/>
      <c r="BG302" s="43"/>
      <c r="BH302" s="43"/>
      <c r="BI302" s="43"/>
      <c r="BJ302" s="43"/>
      <c r="BK302" s="43"/>
      <c r="BL302" s="43"/>
      <c r="BM302" s="43"/>
      <c r="BN302" s="43"/>
      <c r="BO302" s="43"/>
      <c r="BP302" s="43"/>
      <c r="BQ302" s="43"/>
      <c r="BR302" s="43"/>
      <c r="BS302" s="43"/>
      <c r="BT302" s="43"/>
      <c r="BU302" s="43"/>
      <c r="BV302" s="43"/>
      <c r="BW302" s="43"/>
    </row>
    <row r="303" spans="1:75" s="36" customFormat="1">
      <c r="A303" s="5"/>
      <c r="B303" s="5"/>
      <c r="C303" s="5"/>
      <c r="D303" s="39"/>
      <c r="E303" s="39"/>
      <c r="F303" s="39"/>
      <c r="G303" s="5"/>
      <c r="H303" s="132"/>
      <c r="I303" s="3"/>
      <c r="J303" s="3"/>
      <c r="K303" s="3"/>
      <c r="L303" s="3" t="str">
        <f>IFERROR(VLOOKUP(tblSOW9[[#This Row],[Employee name ]],[32]Parameters!CP:CS,4,0),"")</f>
        <v/>
      </c>
      <c r="M303" s="85"/>
      <c r="N303" s="5"/>
      <c r="O303" s="3"/>
      <c r="P303" s="8"/>
      <c r="Q303" s="8"/>
      <c r="R303" s="5"/>
      <c r="S303" s="5"/>
      <c r="T303" s="3"/>
      <c r="U303" s="3"/>
      <c r="V303" s="3"/>
      <c r="W303" s="3"/>
      <c r="X303" s="5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  <c r="BB303" s="43"/>
      <c r="BC303" s="43"/>
      <c r="BD303" s="43"/>
      <c r="BE303" s="43"/>
      <c r="BF303" s="43"/>
      <c r="BG303" s="43"/>
      <c r="BH303" s="43"/>
      <c r="BI303" s="43"/>
      <c r="BJ303" s="43"/>
      <c r="BK303" s="43"/>
      <c r="BL303" s="43"/>
      <c r="BM303" s="43"/>
      <c r="BN303" s="43"/>
      <c r="BO303" s="43"/>
      <c r="BP303" s="43"/>
      <c r="BQ303" s="43"/>
      <c r="BR303" s="43"/>
      <c r="BS303" s="43"/>
      <c r="BT303" s="43"/>
      <c r="BU303" s="43"/>
      <c r="BV303" s="43"/>
      <c r="BW303" s="43"/>
    </row>
    <row r="304" spans="1:75" s="36" customFormat="1">
      <c r="A304" s="5"/>
      <c r="B304" s="5"/>
      <c r="C304" s="5"/>
      <c r="D304" s="39"/>
      <c r="E304" s="39"/>
      <c r="F304" s="39"/>
      <c r="G304" s="5"/>
      <c r="H304" s="132"/>
      <c r="I304" s="3"/>
      <c r="J304" s="3"/>
      <c r="K304" s="3"/>
      <c r="L304" s="3" t="str">
        <f>IFERROR(VLOOKUP(tblSOW9[[#This Row],[Employee name ]],[32]Parameters!CP:CS,4,0),"")</f>
        <v/>
      </c>
      <c r="M304" s="85"/>
      <c r="N304" s="5"/>
      <c r="O304" s="3"/>
      <c r="P304" s="8"/>
      <c r="Q304" s="8"/>
      <c r="R304" s="5"/>
      <c r="S304" s="5"/>
      <c r="T304" s="3"/>
      <c r="U304" s="3"/>
      <c r="V304" s="3"/>
      <c r="W304" s="3"/>
      <c r="X304" s="5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  <c r="BB304" s="43"/>
      <c r="BC304" s="43"/>
      <c r="BD304" s="43"/>
      <c r="BE304" s="43"/>
      <c r="BF304" s="43"/>
      <c r="BG304" s="43"/>
      <c r="BH304" s="43"/>
      <c r="BI304" s="43"/>
      <c r="BJ304" s="43"/>
      <c r="BK304" s="43"/>
      <c r="BL304" s="43"/>
      <c r="BM304" s="43"/>
      <c r="BN304" s="43"/>
      <c r="BO304" s="43"/>
      <c r="BP304" s="43"/>
      <c r="BQ304" s="43"/>
      <c r="BR304" s="43"/>
      <c r="BS304" s="43"/>
      <c r="BT304" s="43"/>
      <c r="BU304" s="43"/>
      <c r="BV304" s="43"/>
      <c r="BW304" s="43"/>
    </row>
    <row r="305" spans="1:85" s="3" customFormat="1">
      <c r="A305" s="5"/>
      <c r="D305" s="97"/>
      <c r="E305" s="5"/>
      <c r="F305" s="4"/>
      <c r="G305" s="5"/>
      <c r="H305" s="5"/>
      <c r="I305" s="5"/>
      <c r="J305" s="4"/>
      <c r="L305" s="5"/>
      <c r="M305" s="85"/>
      <c r="N305" s="5"/>
      <c r="P305" s="8"/>
      <c r="Q305" s="8"/>
      <c r="R305" s="4"/>
      <c r="S305" s="4"/>
      <c r="X305" s="5"/>
      <c r="CB305" s="4"/>
      <c r="CC305" s="4"/>
      <c r="CD305" s="4"/>
      <c r="CE305" s="4"/>
      <c r="CF305" s="4"/>
      <c r="CG305" s="4"/>
    </row>
  </sheetData>
  <dataConsolidate/>
  <conditionalFormatting sqref="BY1:BY2 CC305:CC1048576 BY4:BY304">
    <cfRule type="containsText" dxfId="19" priority="2" operator="containsText" text="False">
      <formula>NOT(ISERROR(SEARCH("False",BY1)))</formula>
    </cfRule>
  </conditionalFormatting>
  <conditionalFormatting sqref="BY3:BZ3">
    <cfRule type="containsText" dxfId="18" priority="1" operator="containsText" text="False">
      <formula>NOT(ISERROR(SEARCH("False",BY3)))</formula>
    </cfRule>
  </conditionalFormatting>
  <dataValidations count="2">
    <dataValidation type="list" allowBlank="1" showInputMessage="1" showErrorMessage="1" sqref="R76:R304" xr:uid="{16CF0C5A-EDDF-4AAC-85E4-10A80BF0F579}">
      <formula1>#REF!</formula1>
    </dataValidation>
    <dataValidation type="list" allowBlank="1" showInputMessage="1" showErrorMessage="1" sqref="R4:R75" xr:uid="{904A3D89-5992-4BE0-88A8-537D6A880E82}">
      <formula1>#REF!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9CE3D-D59C-4DB0-AE99-40CF569F41CA}">
  <sheetPr>
    <tabColor theme="5" tint="0.59999389629810485"/>
  </sheetPr>
  <dimension ref="A1:EX224"/>
  <sheetViews>
    <sheetView topLeftCell="G2" zoomScale="85" zoomScaleNormal="85" workbookViewId="0">
      <selection activeCell="K22" sqref="K22"/>
    </sheetView>
  </sheetViews>
  <sheetFormatPr defaultColWidth="9" defaultRowHeight="14.4"/>
  <cols>
    <col min="1" max="1" width="28.109375" style="5" customWidth="1"/>
    <col min="2" max="2" width="15" style="3" customWidth="1"/>
    <col min="3" max="3" width="15.33203125" style="3" customWidth="1"/>
    <col min="4" max="4" width="17.88671875" style="4" bestFit="1" customWidth="1"/>
    <col min="5" max="5" width="20.6640625" style="4" customWidth="1"/>
    <col min="6" max="6" width="17.6640625" style="4" customWidth="1"/>
    <col min="7" max="7" width="14.6640625" style="4" customWidth="1"/>
    <col min="8" max="8" width="17.33203125" style="5" customWidth="1"/>
    <col min="9" max="9" width="26.109375" style="3" customWidth="1"/>
    <col min="10" max="10" width="31.5546875" customWidth="1"/>
    <col min="11" max="11" width="21.88671875" style="3" customWidth="1"/>
    <col min="12" max="12" width="40.6640625" customWidth="1"/>
    <col min="13" max="13" width="37.6640625" style="63" customWidth="1"/>
    <col min="14" max="14" width="48.5546875" customWidth="1"/>
    <col min="15" max="15" width="43" style="7" customWidth="1"/>
    <col min="16" max="17" width="17.109375" style="8" customWidth="1"/>
    <col min="18" max="18" width="12.88671875" customWidth="1"/>
    <col min="19" max="20" width="9" customWidth="1"/>
    <col min="21" max="21" width="12" style="3" customWidth="1"/>
    <col min="22" max="22" width="17" style="3" bestFit="1" customWidth="1"/>
    <col min="23" max="23" width="11.33203125" style="3" customWidth="1"/>
    <col min="24" max="24" width="18" style="3" customWidth="1"/>
    <col min="25" max="25" width="17" style="3" bestFit="1" customWidth="1"/>
    <col min="26" max="26" width="13.44140625" style="3" customWidth="1"/>
    <col min="27" max="27" width="14.88671875" style="3" customWidth="1"/>
    <col min="28" max="28" width="14.44140625" style="5" customWidth="1"/>
    <col min="29" max="29" width="14.88671875" style="3" customWidth="1"/>
    <col min="30" max="31" width="15.109375" style="3" customWidth="1"/>
    <col min="32" max="32" width="14.44140625" style="3" customWidth="1"/>
    <col min="33" max="33" width="15.109375" style="3" customWidth="1"/>
    <col min="34" max="34" width="15" style="3" customWidth="1"/>
    <col min="35" max="35" width="14.44140625" style="3" customWidth="1"/>
    <col min="36" max="37" width="15.109375" style="3" customWidth="1"/>
    <col min="38" max="38" width="14.88671875" style="3" customWidth="1"/>
    <col min="39" max="39" width="15.44140625" style="3" customWidth="1"/>
    <col min="40" max="40" width="15.109375" style="3" customWidth="1"/>
    <col min="41" max="44" width="14.44140625" style="3" customWidth="1"/>
    <col min="45" max="45" width="14.88671875" style="3" customWidth="1"/>
    <col min="46" max="46" width="14.44140625" style="3" customWidth="1"/>
    <col min="47" max="47" width="14" style="3" customWidth="1"/>
    <col min="48" max="48" width="14.44140625" style="3" customWidth="1"/>
    <col min="49" max="49" width="14.88671875" style="3" customWidth="1"/>
    <col min="50" max="50" width="14.44140625" style="3" customWidth="1"/>
    <col min="51" max="51" width="15" style="3" customWidth="1"/>
    <col min="52" max="52" width="14.88671875" style="3" customWidth="1"/>
    <col min="53" max="56" width="15.44140625" style="3" customWidth="1"/>
    <col min="57" max="57" width="15.88671875" style="3" customWidth="1"/>
    <col min="58" max="58" width="15.44140625" style="3" customWidth="1"/>
    <col min="59" max="59" width="15" style="3" customWidth="1"/>
    <col min="60" max="60" width="15.44140625" style="3" customWidth="1"/>
    <col min="61" max="61" width="15.88671875" style="3" customWidth="1"/>
    <col min="62" max="62" width="15.44140625" style="3" customWidth="1"/>
    <col min="63" max="63" width="16" style="3" customWidth="1"/>
    <col min="64" max="64" width="15.88671875" style="3" customWidth="1"/>
    <col min="65" max="73" width="9.109375" style="3" customWidth="1"/>
    <col min="74" max="74" width="12.44140625" style="3" customWidth="1"/>
    <col min="75" max="75" width="13.88671875" style="3" customWidth="1"/>
    <col min="76" max="77" width="11.6640625" style="3" bestFit="1" customWidth="1"/>
    <col min="78" max="78" width="11" style="3" customWidth="1"/>
    <col min="79" max="79" width="11.44140625" style="3" customWidth="1"/>
    <col min="80" max="80" width="2.88671875" style="4" customWidth="1"/>
    <col min="81" max="81" width="32.109375" style="4" bestFit="1" customWidth="1"/>
    <col min="82" max="82" width="22.109375" style="4" bestFit="1" customWidth="1"/>
    <col min="83" max="83" width="11.44140625" style="4" bestFit="1" customWidth="1"/>
    <col min="84" max="84" width="10.109375" style="4" bestFit="1" customWidth="1"/>
    <col min="85" max="85" width="9.88671875" style="4" bestFit="1" customWidth="1"/>
    <col min="86" max="16384" width="9" style="4"/>
  </cols>
  <sheetData>
    <row r="1" spans="1:154" ht="15" thickBot="1">
      <c r="A1" s="1" t="s">
        <v>0</v>
      </c>
      <c r="B1" s="2">
        <f>AVERAGE([30]Parameters!AH2:AS2)</f>
        <v>3.399999999999999</v>
      </c>
      <c r="G1"/>
      <c r="J1" s="3"/>
      <c r="R1" s="3"/>
      <c r="S1" s="9"/>
      <c r="T1" s="77"/>
      <c r="U1" s="77"/>
      <c r="V1" s="11"/>
      <c r="W1" s="11"/>
      <c r="X1" s="78">
        <f>SUM(tblSOW8[Budget total cost])</f>
        <v>190803.79328295396</v>
      </c>
      <c r="AB1" s="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3">
        <v>1</v>
      </c>
      <c r="BJ1" s="3">
        <v>2</v>
      </c>
      <c r="BK1" s="3">
        <v>3</v>
      </c>
      <c r="BL1" s="3">
        <v>4</v>
      </c>
      <c r="BM1" s="3">
        <v>5</v>
      </c>
      <c r="BN1" s="3">
        <v>6</v>
      </c>
      <c r="BO1" s="3">
        <v>7</v>
      </c>
      <c r="BP1" s="3">
        <v>8</v>
      </c>
      <c r="BQ1" s="3">
        <v>9</v>
      </c>
      <c r="BR1" s="3">
        <v>10</v>
      </c>
      <c r="BS1" s="3">
        <v>11</v>
      </c>
      <c r="BT1" s="3">
        <v>12</v>
      </c>
      <c r="BX1" s="4"/>
      <c r="BY1" s="14"/>
      <c r="BZ1" s="4">
        <f>SUM(CD4:CD1048576)</f>
        <v>0</v>
      </c>
      <c r="CA1" s="4"/>
    </row>
    <row r="2" spans="1:154" s="18" customFormat="1" ht="29.4" thickBot="1">
      <c r="A2" s="15" t="s">
        <v>1</v>
      </c>
      <c r="B2" s="15" t="s">
        <v>2</v>
      </c>
      <c r="C2" s="15" t="s">
        <v>2</v>
      </c>
      <c r="D2" s="15" t="s">
        <v>2</v>
      </c>
      <c r="E2" s="15" t="s">
        <v>3</v>
      </c>
      <c r="F2" s="15" t="s">
        <v>4</v>
      </c>
      <c r="G2" s="16"/>
      <c r="H2" s="15" t="s">
        <v>1</v>
      </c>
      <c r="I2" s="15" t="s">
        <v>6</v>
      </c>
      <c r="J2" s="15" t="s">
        <v>7</v>
      </c>
      <c r="K2" s="17" t="s">
        <v>8</v>
      </c>
      <c r="L2" s="103"/>
      <c r="M2" s="14"/>
      <c r="N2"/>
      <c r="O2" s="103"/>
      <c r="P2" s="19"/>
      <c r="Q2" s="19"/>
      <c r="R2" s="20" t="s">
        <v>9</v>
      </c>
      <c r="S2" s="15" t="s">
        <v>1</v>
      </c>
      <c r="V2" s="21"/>
      <c r="W2" s="21"/>
      <c r="X2" s="79" t="s">
        <v>10</v>
      </c>
      <c r="Y2" s="23" t="s">
        <v>11</v>
      </c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5"/>
      <c r="AK2" s="23" t="s">
        <v>12</v>
      </c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5"/>
      <c r="AW2" s="23" t="s">
        <v>13</v>
      </c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5"/>
      <c r="BI2" s="23" t="s">
        <v>14</v>
      </c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5"/>
      <c r="BX2" s="104" t="s">
        <v>3</v>
      </c>
      <c r="BY2" s="104"/>
      <c r="BZ2" s="104"/>
      <c r="CA2" s="104"/>
    </row>
    <row r="3" spans="1:154" s="109" customFormat="1" ht="43.2">
      <c r="A3" s="105" t="s">
        <v>15</v>
      </c>
      <c r="B3" s="105" t="s">
        <v>16</v>
      </c>
      <c r="C3" s="105" t="s">
        <v>17</v>
      </c>
      <c r="D3" s="106" t="s">
        <v>18</v>
      </c>
      <c r="E3" s="106" t="s">
        <v>19</v>
      </c>
      <c r="F3" s="106" t="s">
        <v>20</v>
      </c>
      <c r="G3" s="27" t="s">
        <v>21</v>
      </c>
      <c r="H3" s="105" t="s">
        <v>22</v>
      </c>
      <c r="I3" s="105" t="s">
        <v>23</v>
      </c>
      <c r="J3" s="105" t="s">
        <v>24</v>
      </c>
      <c r="K3" s="105" t="s">
        <v>25</v>
      </c>
      <c r="L3" s="28" t="s">
        <v>26</v>
      </c>
      <c r="M3" s="29" t="s">
        <v>27</v>
      </c>
      <c r="N3" s="30" t="s">
        <v>28</v>
      </c>
      <c r="O3" s="31" t="s">
        <v>29</v>
      </c>
      <c r="P3" s="107" t="s">
        <v>30</v>
      </c>
      <c r="Q3" s="107" t="s">
        <v>31</v>
      </c>
      <c r="R3" s="26" t="s">
        <v>32</v>
      </c>
      <c r="S3" s="105" t="s">
        <v>33</v>
      </c>
      <c r="T3" s="108" t="s">
        <v>34</v>
      </c>
      <c r="U3" s="108" t="s">
        <v>35</v>
      </c>
      <c r="V3" s="108" t="s">
        <v>36</v>
      </c>
      <c r="W3" s="108" t="s">
        <v>37</v>
      </c>
      <c r="X3" s="108" t="s">
        <v>38</v>
      </c>
      <c r="Y3" s="108" t="s">
        <v>39</v>
      </c>
      <c r="Z3" s="108" t="s">
        <v>40</v>
      </c>
      <c r="AA3" s="108" t="s">
        <v>41</v>
      </c>
      <c r="AB3" s="108" t="s">
        <v>42</v>
      </c>
      <c r="AC3" s="108" t="s">
        <v>43</v>
      </c>
      <c r="AD3" s="108" t="s">
        <v>44</v>
      </c>
      <c r="AE3" s="108" t="s">
        <v>45</v>
      </c>
      <c r="AF3" s="108" t="s">
        <v>46</v>
      </c>
      <c r="AG3" s="108" t="s">
        <v>47</v>
      </c>
      <c r="AH3" s="108" t="s">
        <v>48</v>
      </c>
      <c r="AI3" s="108" t="s">
        <v>49</v>
      </c>
      <c r="AJ3" s="108" t="s">
        <v>50</v>
      </c>
      <c r="AK3" s="108" t="s">
        <v>51</v>
      </c>
      <c r="AL3" s="108" t="s">
        <v>52</v>
      </c>
      <c r="AM3" s="108" t="s">
        <v>53</v>
      </c>
      <c r="AN3" s="108" t="s">
        <v>54</v>
      </c>
      <c r="AO3" s="108" t="s">
        <v>55</v>
      </c>
      <c r="AP3" s="108" t="s">
        <v>56</v>
      </c>
      <c r="AQ3" s="108" t="s">
        <v>57</v>
      </c>
      <c r="AR3" s="108" t="s">
        <v>58</v>
      </c>
      <c r="AS3" s="108" t="s">
        <v>59</v>
      </c>
      <c r="AT3" s="108" t="s">
        <v>60</v>
      </c>
      <c r="AU3" s="108" t="s">
        <v>61</v>
      </c>
      <c r="AV3" s="108" t="s">
        <v>62</v>
      </c>
      <c r="AW3" s="108" t="s">
        <v>63</v>
      </c>
      <c r="AX3" s="108" t="s">
        <v>64</v>
      </c>
      <c r="AY3" s="108" t="s">
        <v>65</v>
      </c>
      <c r="AZ3" s="108" t="s">
        <v>66</v>
      </c>
      <c r="BA3" s="108" t="s">
        <v>67</v>
      </c>
      <c r="BB3" s="108" t="s">
        <v>68</v>
      </c>
      <c r="BC3" s="108" t="s">
        <v>69</v>
      </c>
      <c r="BD3" s="108" t="s">
        <v>70</v>
      </c>
      <c r="BE3" s="108" t="s">
        <v>71</v>
      </c>
      <c r="BF3" s="108" t="s">
        <v>72</v>
      </c>
      <c r="BG3" s="108" t="s">
        <v>73</v>
      </c>
      <c r="BH3" s="108" t="s">
        <v>74</v>
      </c>
      <c r="BI3" s="108" t="s">
        <v>75</v>
      </c>
      <c r="BJ3" s="108" t="s">
        <v>76</v>
      </c>
      <c r="BK3" s="108" t="s">
        <v>77</v>
      </c>
      <c r="BL3" s="108" t="s">
        <v>78</v>
      </c>
      <c r="BM3" s="108" t="s">
        <v>79</v>
      </c>
      <c r="BN3" s="108" t="s">
        <v>80</v>
      </c>
      <c r="BO3" s="108" t="s">
        <v>81</v>
      </c>
      <c r="BP3" s="108" t="s">
        <v>82</v>
      </c>
      <c r="BQ3" s="108" t="s">
        <v>83</v>
      </c>
      <c r="BR3" s="108" t="s">
        <v>84</v>
      </c>
      <c r="BS3" s="108" t="s">
        <v>85</v>
      </c>
      <c r="BT3" s="108" t="s">
        <v>86</v>
      </c>
      <c r="BU3" s="108" t="s">
        <v>87</v>
      </c>
      <c r="BV3" s="108" t="s">
        <v>88</v>
      </c>
      <c r="BW3" s="108" t="s">
        <v>89</v>
      </c>
      <c r="BX3" s="109" t="s">
        <v>154</v>
      </c>
      <c r="BY3" s="109" t="s">
        <v>155</v>
      </c>
      <c r="BZ3" s="109" t="s">
        <v>156</v>
      </c>
      <c r="CA3" s="109" t="s">
        <v>157</v>
      </c>
      <c r="CB3" s="110"/>
      <c r="CC3" s="110"/>
      <c r="CD3" s="110"/>
      <c r="CE3" s="110"/>
      <c r="CF3" s="110"/>
      <c r="CG3" s="110"/>
      <c r="CH3" s="110"/>
      <c r="CI3" s="110"/>
      <c r="CJ3" s="110"/>
      <c r="CK3" s="110"/>
      <c r="CL3" s="110"/>
      <c r="CM3" s="110"/>
      <c r="CN3" s="110"/>
      <c r="CO3" s="110"/>
      <c r="CP3" s="110"/>
      <c r="CQ3" s="110"/>
      <c r="CR3" s="110"/>
      <c r="CS3" s="110"/>
      <c r="CT3" s="110"/>
      <c r="CU3" s="110"/>
      <c r="CV3" s="110"/>
      <c r="CW3" s="110"/>
      <c r="CX3" s="110"/>
      <c r="CY3" s="110"/>
      <c r="CZ3" s="110"/>
      <c r="DA3" s="110"/>
      <c r="DB3" s="110"/>
      <c r="DC3" s="110"/>
      <c r="DD3" s="110"/>
      <c r="DE3" s="110"/>
      <c r="DF3" s="110"/>
      <c r="DG3" s="110"/>
      <c r="DH3" s="110"/>
      <c r="DI3" s="110"/>
      <c r="DJ3" s="110"/>
      <c r="DK3" s="110"/>
      <c r="DL3" s="110"/>
      <c r="DM3" s="110"/>
      <c r="DN3" s="110"/>
      <c r="DO3" s="110"/>
      <c r="DP3" s="110"/>
      <c r="DQ3" s="110"/>
      <c r="DR3" s="110"/>
      <c r="DS3" s="110"/>
      <c r="DT3" s="110"/>
      <c r="DU3" s="110"/>
      <c r="DV3" s="110"/>
      <c r="DW3" s="110"/>
      <c r="DX3" s="110"/>
      <c r="DY3" s="110"/>
      <c r="DZ3" s="110"/>
      <c r="EA3" s="110"/>
      <c r="EB3" s="110"/>
      <c r="EC3" s="110"/>
      <c r="ED3" s="110"/>
      <c r="EE3" s="110"/>
      <c r="EF3" s="110"/>
      <c r="EG3" s="110"/>
      <c r="EH3" s="110"/>
      <c r="EI3" s="110"/>
      <c r="EJ3" s="110"/>
      <c r="EK3" s="110"/>
      <c r="EL3" s="110"/>
      <c r="EM3" s="110"/>
      <c r="EN3" s="110"/>
      <c r="EO3" s="110"/>
      <c r="EP3" s="110"/>
      <c r="EQ3" s="110"/>
      <c r="ER3" s="110"/>
      <c r="ES3" s="110"/>
      <c r="ET3" s="110"/>
      <c r="EU3" s="110"/>
      <c r="EV3" s="110"/>
      <c r="EW3" s="110"/>
      <c r="EX3" s="110"/>
    </row>
    <row r="4" spans="1:154" s="75" customFormat="1" ht="13.5" customHeight="1">
      <c r="A4" s="67" t="str">
        <f>CONCATENATE(INDEX([30]Parameters!$U$1:$V$20,MATCH(C4,[30]Parameters!$V$1:$V$20,0),1),"/",VLOOKUP(D4,[30]Parameters!$CG$1:$CH$12,2,0),".",E4,".",H4,".",LEFT(J4,3),"-",LEFT(K4,4))</f>
        <v>B20/20.P192.427.950-T109</v>
      </c>
      <c r="B4" s="67" t="s">
        <v>160</v>
      </c>
      <c r="C4" s="67" t="s">
        <v>158</v>
      </c>
      <c r="D4" s="111" t="s">
        <v>95</v>
      </c>
      <c r="E4" s="111" t="str">
        <f>VLOOKUP(F4,[30]Parameters!P:T,4,0)</f>
        <v>P192</v>
      </c>
      <c r="F4" s="111" t="s">
        <v>163</v>
      </c>
      <c r="G4" s="67"/>
      <c r="H4" s="44">
        <f>INDEX([30]Parameters!$B:$C,MATCH(I4,[30]Parameters!$C:$C,0),1)</f>
        <v>427</v>
      </c>
      <c r="I4" s="68" t="s">
        <v>104</v>
      </c>
      <c r="J4" s="68" t="s">
        <v>94</v>
      </c>
      <c r="K4" s="68" t="s">
        <v>105</v>
      </c>
      <c r="L4" s="68"/>
      <c r="M4" s="69"/>
      <c r="N4" s="119"/>
      <c r="O4" s="119"/>
      <c r="P4" s="72">
        <v>44927</v>
      </c>
      <c r="Q4" s="72">
        <v>45016</v>
      </c>
      <c r="R4" s="67"/>
      <c r="S4" s="67">
        <f t="shared" ref="S4:S8" si="0">IF(OR(P4="",Q4=""),0,MONTH(Q4)-MONTH(P4)+1)</f>
        <v>3</v>
      </c>
      <c r="T4" s="68"/>
      <c r="U4" s="68">
        <v>2</v>
      </c>
      <c r="V4" s="68"/>
      <c r="W4" s="68" t="str">
        <f>IF(AND(ISNUMBER(SEARCH("-T",tblSOW8[[#This Row],[Budget Item]])),NOT(ISNUMBER(tblSOW8[[#This Row],[Task Units]]))),"Please Enter Task Units",
IF(AND(ISNUMBER(SEARCH("-E000",tblSOW8[[#This Row],[Budget Item]])),NOT(ISNUMBER(tblSOW8[[#This Row],[% work on project]]))),"Please Enter Organic FTE",
IF(AND(ISNUMBER(SEARCH("-E999",tblSOW8[[#This Row],[Budget Item]])),NOT(ISNUMBER(tblSOW8[[#This Row],[External Expenses/Revenues USD]]))),"Please Enter External Expenses",
"")))</f>
        <v/>
      </c>
      <c r="X4" s="67">
        <f>SUM(tblSOW8[[#This Row],[Jan 2023 USD]:[Dec 2023 USD]])</f>
        <v>1654.8864134118219</v>
      </c>
      <c r="Y4" s="74">
        <f>tblSOW8[[#This Row],[FTE Cost]]*tblSOW8[[#This Row],[% work on project]]*AK4/12+tblSOW8[[#This Row],[Task Cost]]*AW4+tblSOW8[[#This Row],[External Expenses/Revenues USD]]*BI4/tblSOW8[[#This Row],[Duration]]</f>
        <v>551.62880447060729</v>
      </c>
      <c r="Z4" s="74">
        <f>tblSOW8[[#This Row],[FTE Cost]]*tblSOW8[[#This Row],[% work on project]]*AL4/12+tblSOW8[[#This Row],[Task Cost]]*AX4+tblSOW8[[#This Row],[External Expenses/Revenues USD]]*BJ4/tblSOW8[[#This Row],[Duration]]</f>
        <v>551.62880447060729</v>
      </c>
      <c r="AA4" s="74">
        <f>tblSOW8[[#This Row],[FTE Cost]]*tblSOW8[[#This Row],[% work on project]]*AM4/12+tblSOW8[[#This Row],[Task Cost]]*AY4+tblSOW8[[#This Row],[External Expenses/Revenues USD]]*BK4/tblSOW8[[#This Row],[Duration]]</f>
        <v>551.62880447060729</v>
      </c>
      <c r="AB4" s="74">
        <f>tblSOW8[[#This Row],[FTE Cost]]*tblSOW8[[#This Row],[% work on project]]*AN4/12+tblSOW8[[#This Row],[Task Cost]]*AZ4+tblSOW8[[#This Row],[External Expenses/Revenues USD]]*BL4/tblSOW8[[#This Row],[Duration]]</f>
        <v>0</v>
      </c>
      <c r="AC4" s="74">
        <f>tblSOW8[[#This Row],[FTE Cost]]*tblSOW8[[#This Row],[% work on project]]*AO4/12+tblSOW8[[#This Row],[Task Cost]]*BA4+tblSOW8[[#This Row],[External Expenses/Revenues USD]]*BM4/tblSOW8[[#This Row],[Duration]]</f>
        <v>0</v>
      </c>
      <c r="AD4" s="74">
        <f>tblSOW8[[#This Row],[FTE Cost]]*tblSOW8[[#This Row],[% work on project]]*AP4/12+tblSOW8[[#This Row],[Task Cost]]*BB4+tblSOW8[[#This Row],[External Expenses/Revenues USD]]*BN4/tblSOW8[[#This Row],[Duration]]</f>
        <v>0</v>
      </c>
      <c r="AE4" s="74">
        <f>tblSOW8[[#This Row],[FTE Cost]]*tblSOW8[[#This Row],[% work on project]]*AQ4/12+tblSOW8[[#This Row],[Task Cost]]*BC4+tblSOW8[[#This Row],[External Expenses/Revenues USD]]*BO4/tblSOW8[[#This Row],[Duration]]</f>
        <v>0</v>
      </c>
      <c r="AF4" s="74">
        <f>tblSOW8[[#This Row],[FTE Cost]]*tblSOW8[[#This Row],[% work on project]]*AR4/12+tblSOW8[[#This Row],[Task Cost]]*BD4+tblSOW8[[#This Row],[External Expenses/Revenues USD]]*BP4/tblSOW8[[#This Row],[Duration]]</f>
        <v>0</v>
      </c>
      <c r="AG4" s="74">
        <f>tblSOW8[[#This Row],[FTE Cost]]*tblSOW8[[#This Row],[% work on project]]*AS4/12+tblSOW8[[#This Row],[Task Cost]]*BE4+tblSOW8[[#This Row],[External Expenses/Revenues USD]]*BQ4/tblSOW8[[#This Row],[Duration]]</f>
        <v>0</v>
      </c>
      <c r="AH4" s="74">
        <f>tblSOW8[[#This Row],[FTE Cost]]*tblSOW8[[#This Row],[% work on project]]*AT4/12+tblSOW8[[#This Row],[Task Cost]]*BF4+tblSOW8[[#This Row],[External Expenses/Revenues USD]]*BR4/tblSOW8[[#This Row],[Duration]]</f>
        <v>0</v>
      </c>
      <c r="AI4" s="74">
        <f>tblSOW8[[#This Row],[FTE Cost]]*tblSOW8[[#This Row],[% work on project]]*AU4/12+tblSOW8[[#This Row],[Task Cost]]*BG4+tblSOW8[[#This Row],[External Expenses/Revenues USD]]*BS4/tblSOW8[[#This Row],[Duration]]</f>
        <v>0</v>
      </c>
      <c r="AJ4" s="74">
        <f>tblSOW8[[#This Row],[FTE Cost]]*tblSOW8[[#This Row],[% work on project]]*AV4/12+tblSOW8[[#This Row],[Task Cost]]*BH4+tblSOW8[[#This Row],[External Expenses/Revenues USD]]*BT4/tblSOW8[[#This Row],[Duration]]</f>
        <v>0</v>
      </c>
      <c r="AK4" s="74">
        <f t="shared" ref="AK4:AS13" si="1">$S4/$BU4*BI4</f>
        <v>1</v>
      </c>
      <c r="AL4" s="74">
        <f t="shared" si="1"/>
        <v>1</v>
      </c>
      <c r="AM4" s="74">
        <f t="shared" si="1"/>
        <v>1</v>
      </c>
      <c r="AN4" s="74">
        <f t="shared" si="1"/>
        <v>0</v>
      </c>
      <c r="AO4" s="74">
        <f t="shared" si="1"/>
        <v>0</v>
      </c>
      <c r="AP4" s="74">
        <f t="shared" si="1"/>
        <v>0</v>
      </c>
      <c r="AQ4" s="74">
        <f t="shared" ref="AQ4:AV12" si="2">$S4/$BU4*BO4</f>
        <v>0</v>
      </c>
      <c r="AR4" s="74">
        <f t="shared" si="2"/>
        <v>0</v>
      </c>
      <c r="AS4" s="74">
        <f t="shared" si="2"/>
        <v>0</v>
      </c>
      <c r="AT4" s="74">
        <f t="shared" si="2"/>
        <v>0</v>
      </c>
      <c r="AU4" s="74">
        <f t="shared" si="2"/>
        <v>0</v>
      </c>
      <c r="AV4" s="74">
        <f t="shared" si="2"/>
        <v>0</v>
      </c>
      <c r="AW4" s="74">
        <f t="shared" ref="AW4:BE13" si="3">$U4/$BU4*BI4</f>
        <v>0.66666666666666663</v>
      </c>
      <c r="AX4" s="74">
        <f t="shared" si="3"/>
        <v>0.66666666666666663</v>
      </c>
      <c r="AY4" s="74">
        <f t="shared" si="3"/>
        <v>0.66666666666666663</v>
      </c>
      <c r="AZ4" s="74">
        <f t="shared" si="3"/>
        <v>0</v>
      </c>
      <c r="BA4" s="74">
        <f t="shared" si="3"/>
        <v>0</v>
      </c>
      <c r="BB4" s="74">
        <f t="shared" si="3"/>
        <v>0</v>
      </c>
      <c r="BC4" s="74">
        <f t="shared" ref="BC4:BH12" si="4">$U4/$BU4*BO4</f>
        <v>0</v>
      </c>
      <c r="BD4" s="74">
        <f t="shared" si="4"/>
        <v>0</v>
      </c>
      <c r="BE4" s="74">
        <f t="shared" si="4"/>
        <v>0</v>
      </c>
      <c r="BF4" s="74">
        <f t="shared" si="4"/>
        <v>0</v>
      </c>
      <c r="BG4" s="74">
        <f t="shared" si="4"/>
        <v>0</v>
      </c>
      <c r="BH4" s="74">
        <f t="shared" si="4"/>
        <v>0</v>
      </c>
      <c r="BI4" s="74">
        <f t="shared" ref="BI4:BT4" si="5">IF($S4&gt;0,IF(AND(MONTH($P4)&lt;=BI$1,MONTH($Q4)&gt;=BI$1),1,0),0)</f>
        <v>1</v>
      </c>
      <c r="BJ4" s="74">
        <f t="shared" si="5"/>
        <v>1</v>
      </c>
      <c r="BK4" s="74">
        <f t="shared" si="5"/>
        <v>1</v>
      </c>
      <c r="BL4" s="74">
        <f t="shared" si="5"/>
        <v>0</v>
      </c>
      <c r="BM4" s="74">
        <f t="shared" si="5"/>
        <v>0</v>
      </c>
      <c r="BN4" s="74">
        <f t="shared" si="5"/>
        <v>0</v>
      </c>
      <c r="BO4" s="74">
        <f t="shared" si="5"/>
        <v>0</v>
      </c>
      <c r="BP4" s="74">
        <f t="shared" si="5"/>
        <v>0</v>
      </c>
      <c r="BQ4" s="74">
        <f t="shared" si="5"/>
        <v>0</v>
      </c>
      <c r="BR4" s="74">
        <f t="shared" si="5"/>
        <v>0</v>
      </c>
      <c r="BS4" s="74">
        <f t="shared" si="5"/>
        <v>0</v>
      </c>
      <c r="BT4" s="74">
        <f t="shared" si="5"/>
        <v>0</v>
      </c>
      <c r="BU4" s="74">
        <f>SUM(tblSOW8[[#This Row],[P1]:[P12]])</f>
        <v>3</v>
      </c>
      <c r="BV4" s="74">
        <f>IFERROR(VLOOKUP(H4,[30]Parameters!CK:CN,3,0),0)</f>
        <v>0</v>
      </c>
      <c r="BW4" s="74">
        <f>IFERROR(VLOOKUP(K4,[30]Parameters!BN:BW,10,0),0)</f>
        <v>827.44320670591105</v>
      </c>
      <c r="BX4" s="74">
        <f>SUM(tblSOW8[[#This Row],[Jan 2023 USD]:[Mar 2023 USD]])</f>
        <v>1654.8864134118219</v>
      </c>
      <c r="BY4" s="74">
        <f>SUM(tblSOW8[[#This Row],[Apr 2023 USD]:[Jun 2023 USD]])</f>
        <v>0</v>
      </c>
      <c r="BZ4" s="74">
        <f>SUM(tblSOW8[[#This Row],[Jul 2023 USD]:[Sep 2023 USD]])</f>
        <v>0</v>
      </c>
      <c r="CA4" s="74">
        <f>SUM(tblSOW8[[#This Row],[Oct 2023 USD]:[Dec 2023 USD]])</f>
        <v>0</v>
      </c>
    </row>
    <row r="5" spans="1:154" s="75" customFormat="1" ht="13.5" customHeight="1">
      <c r="A5" s="67" t="str">
        <f>CONCATENATE(INDEX([30]Parameters!$U$1:$V$20,MATCH(C5,[30]Parameters!$V$1:$V$20,0),1),"/",VLOOKUP(D5,[30]Parameters!$CG$1:$CH$12,2,0),".",E5,".",H5,".",LEFT(J5,3),"-",LEFT(K5,4))</f>
        <v>B20/20.P145.427.950-T109</v>
      </c>
      <c r="B5" s="67" t="s">
        <v>160</v>
      </c>
      <c r="C5" s="67" t="s">
        <v>158</v>
      </c>
      <c r="D5" s="111" t="s">
        <v>95</v>
      </c>
      <c r="E5" s="111" t="str">
        <f>VLOOKUP(F5,[30]Parameters!P:T,4,0)</f>
        <v>P145</v>
      </c>
      <c r="F5" s="111" t="s">
        <v>161</v>
      </c>
      <c r="G5" s="67"/>
      <c r="H5" s="44">
        <f>INDEX([30]Parameters!$B:$C,MATCH(I5,[30]Parameters!$C:$C,0),1)</f>
        <v>427</v>
      </c>
      <c r="I5" s="68" t="s">
        <v>104</v>
      </c>
      <c r="J5" s="68" t="s">
        <v>94</v>
      </c>
      <c r="K5" s="68" t="s">
        <v>105</v>
      </c>
      <c r="L5" s="68"/>
      <c r="M5" s="69"/>
      <c r="N5" s="119"/>
      <c r="O5" s="119"/>
      <c r="P5" s="72">
        <v>44927</v>
      </c>
      <c r="Q5" s="72">
        <v>45016</v>
      </c>
      <c r="R5" s="67"/>
      <c r="S5" s="67">
        <f t="shared" si="0"/>
        <v>3</v>
      </c>
      <c r="T5" s="68"/>
      <c r="U5" s="68"/>
      <c r="V5" s="68"/>
      <c r="W5" s="68" t="str">
        <f>IF(AND(ISNUMBER(SEARCH("-T",tblSOW8[[#This Row],[Budget Item]])),NOT(ISNUMBER(tblSOW8[[#This Row],[Task Units]]))),"Please Enter Task Units",
IF(AND(ISNUMBER(SEARCH("-E000",tblSOW8[[#This Row],[Budget Item]])),NOT(ISNUMBER(tblSOW8[[#This Row],[% work on project]]))),"Please Enter Organic FTE",
IF(AND(ISNUMBER(SEARCH("-E999",tblSOW8[[#This Row],[Budget Item]])),NOT(ISNUMBER(tblSOW8[[#This Row],[External Expenses/Revenues USD]]))),"Please Enter External Expenses",
"")))</f>
        <v>Please Enter Task Units</v>
      </c>
      <c r="X5" s="67">
        <f>SUM(tblSOW8[[#This Row],[Jan 2023 USD]:[Dec 2023 USD]])</f>
        <v>0</v>
      </c>
      <c r="Y5" s="74">
        <f>tblSOW8[[#This Row],[FTE Cost]]*tblSOW8[[#This Row],[% work on project]]*AK5/12+tblSOW8[[#This Row],[Task Cost]]*AW5+tblSOW8[[#This Row],[External Expenses/Revenues USD]]*BI5/tblSOW8[[#This Row],[Duration]]</f>
        <v>0</v>
      </c>
      <c r="Z5" s="74">
        <f>tblSOW8[[#This Row],[FTE Cost]]*tblSOW8[[#This Row],[% work on project]]*AL5/12+tblSOW8[[#This Row],[Task Cost]]*AX5+tblSOW8[[#This Row],[External Expenses/Revenues USD]]*BJ5/tblSOW8[[#This Row],[Duration]]</f>
        <v>0</v>
      </c>
      <c r="AA5" s="74">
        <f>tblSOW8[[#This Row],[FTE Cost]]*tblSOW8[[#This Row],[% work on project]]*AM5/12+tblSOW8[[#This Row],[Task Cost]]*AY5+tblSOW8[[#This Row],[External Expenses/Revenues USD]]*BK5/tblSOW8[[#This Row],[Duration]]</f>
        <v>0</v>
      </c>
      <c r="AB5" s="74">
        <f>tblSOW8[[#This Row],[FTE Cost]]*tblSOW8[[#This Row],[% work on project]]*AN5/12+tblSOW8[[#This Row],[Task Cost]]*AZ5+tblSOW8[[#This Row],[External Expenses/Revenues USD]]*BL5/tblSOW8[[#This Row],[Duration]]</f>
        <v>0</v>
      </c>
      <c r="AC5" s="74">
        <f>tblSOW8[[#This Row],[FTE Cost]]*tblSOW8[[#This Row],[% work on project]]*AO5/12+tblSOW8[[#This Row],[Task Cost]]*BA5+tblSOW8[[#This Row],[External Expenses/Revenues USD]]*BM5/tblSOW8[[#This Row],[Duration]]</f>
        <v>0</v>
      </c>
      <c r="AD5" s="74">
        <f>tblSOW8[[#This Row],[FTE Cost]]*tblSOW8[[#This Row],[% work on project]]*AP5/12+tblSOW8[[#This Row],[Task Cost]]*BB5+tblSOW8[[#This Row],[External Expenses/Revenues USD]]*BN5/tblSOW8[[#This Row],[Duration]]</f>
        <v>0</v>
      </c>
      <c r="AE5" s="74">
        <f>tblSOW8[[#This Row],[FTE Cost]]*tblSOW8[[#This Row],[% work on project]]*AQ5/12+tblSOW8[[#This Row],[Task Cost]]*BC5+tblSOW8[[#This Row],[External Expenses/Revenues USD]]*BO5/tblSOW8[[#This Row],[Duration]]</f>
        <v>0</v>
      </c>
      <c r="AF5" s="74">
        <f>tblSOW8[[#This Row],[FTE Cost]]*tblSOW8[[#This Row],[% work on project]]*AR5/12+tblSOW8[[#This Row],[Task Cost]]*BD5+tblSOW8[[#This Row],[External Expenses/Revenues USD]]*BP5/tblSOW8[[#This Row],[Duration]]</f>
        <v>0</v>
      </c>
      <c r="AG5" s="74">
        <f>tblSOW8[[#This Row],[FTE Cost]]*tblSOW8[[#This Row],[% work on project]]*AS5/12+tblSOW8[[#This Row],[Task Cost]]*BE5+tblSOW8[[#This Row],[External Expenses/Revenues USD]]*BQ5/tblSOW8[[#This Row],[Duration]]</f>
        <v>0</v>
      </c>
      <c r="AH5" s="74">
        <f>tblSOW8[[#This Row],[FTE Cost]]*tblSOW8[[#This Row],[% work on project]]*AT5/12+tblSOW8[[#This Row],[Task Cost]]*BF5+tblSOW8[[#This Row],[External Expenses/Revenues USD]]*BR5/tblSOW8[[#This Row],[Duration]]</f>
        <v>0</v>
      </c>
      <c r="AI5" s="74">
        <f>tblSOW8[[#This Row],[FTE Cost]]*tblSOW8[[#This Row],[% work on project]]*AU5/12+tblSOW8[[#This Row],[Task Cost]]*BG5+tblSOW8[[#This Row],[External Expenses/Revenues USD]]*BS5/tblSOW8[[#This Row],[Duration]]</f>
        <v>0</v>
      </c>
      <c r="AJ5" s="74">
        <f>tblSOW8[[#This Row],[FTE Cost]]*tblSOW8[[#This Row],[% work on project]]*AV5/12+tblSOW8[[#This Row],[Task Cost]]*BH5+tblSOW8[[#This Row],[External Expenses/Revenues USD]]*BT5/tblSOW8[[#This Row],[Duration]]</f>
        <v>0</v>
      </c>
      <c r="AK5" s="74">
        <f t="shared" si="1"/>
        <v>1</v>
      </c>
      <c r="AL5" s="74">
        <f t="shared" si="1"/>
        <v>1</v>
      </c>
      <c r="AM5" s="74">
        <f t="shared" si="1"/>
        <v>1</v>
      </c>
      <c r="AN5" s="74">
        <f t="shared" si="1"/>
        <v>0</v>
      </c>
      <c r="AO5" s="74">
        <f t="shared" si="1"/>
        <v>0</v>
      </c>
      <c r="AP5" s="74">
        <f t="shared" si="1"/>
        <v>0</v>
      </c>
      <c r="AQ5" s="74">
        <f t="shared" si="2"/>
        <v>0</v>
      </c>
      <c r="AR5" s="74">
        <f t="shared" si="2"/>
        <v>0</v>
      </c>
      <c r="AS5" s="74">
        <f t="shared" si="2"/>
        <v>0</v>
      </c>
      <c r="AT5" s="74">
        <f t="shared" si="2"/>
        <v>0</v>
      </c>
      <c r="AU5" s="74">
        <f t="shared" si="2"/>
        <v>0</v>
      </c>
      <c r="AV5" s="74">
        <f t="shared" si="2"/>
        <v>0</v>
      </c>
      <c r="AW5" s="74">
        <f t="shared" si="3"/>
        <v>0</v>
      </c>
      <c r="AX5" s="74">
        <f t="shared" si="3"/>
        <v>0</v>
      </c>
      <c r="AY5" s="74">
        <f t="shared" si="3"/>
        <v>0</v>
      </c>
      <c r="AZ5" s="74">
        <f t="shared" si="3"/>
        <v>0</v>
      </c>
      <c r="BA5" s="74">
        <f t="shared" si="3"/>
        <v>0</v>
      </c>
      <c r="BB5" s="74">
        <f t="shared" si="3"/>
        <v>0</v>
      </c>
      <c r="BC5" s="74">
        <f t="shared" si="4"/>
        <v>0</v>
      </c>
      <c r="BD5" s="74">
        <f t="shared" si="4"/>
        <v>0</v>
      </c>
      <c r="BE5" s="74">
        <f t="shared" si="4"/>
        <v>0</v>
      </c>
      <c r="BF5" s="74">
        <f t="shared" si="4"/>
        <v>0</v>
      </c>
      <c r="BG5" s="74">
        <f t="shared" si="4"/>
        <v>0</v>
      </c>
      <c r="BH5" s="74">
        <f t="shared" si="4"/>
        <v>0</v>
      </c>
      <c r="BI5" s="74">
        <f t="shared" ref="BI5:BT20" si="6">IF($S5&gt;0,IF(AND(MONTH($P5)&lt;=BI$1,MONTH($Q5)&gt;=BI$1),1,0),0)</f>
        <v>1</v>
      </c>
      <c r="BJ5" s="74">
        <f t="shared" si="6"/>
        <v>1</v>
      </c>
      <c r="BK5" s="74">
        <f t="shared" si="6"/>
        <v>1</v>
      </c>
      <c r="BL5" s="74">
        <f t="shared" si="6"/>
        <v>0</v>
      </c>
      <c r="BM5" s="74">
        <f t="shared" si="6"/>
        <v>0</v>
      </c>
      <c r="BN5" s="74">
        <f t="shared" si="6"/>
        <v>0</v>
      </c>
      <c r="BO5" s="74">
        <f t="shared" si="6"/>
        <v>0</v>
      </c>
      <c r="BP5" s="74">
        <f t="shared" si="6"/>
        <v>0</v>
      </c>
      <c r="BQ5" s="74">
        <f t="shared" si="6"/>
        <v>0</v>
      </c>
      <c r="BR5" s="74">
        <f t="shared" si="6"/>
        <v>0</v>
      </c>
      <c r="BS5" s="74">
        <f t="shared" si="6"/>
        <v>0</v>
      </c>
      <c r="BT5" s="74">
        <f t="shared" si="6"/>
        <v>0</v>
      </c>
      <c r="BU5" s="74">
        <f>SUM(tblSOW8[[#This Row],[P1]:[P12]])</f>
        <v>3</v>
      </c>
      <c r="BV5" s="74">
        <f>IFERROR(VLOOKUP(H5,[30]Parameters!CK:CN,3,0),0)</f>
        <v>0</v>
      </c>
      <c r="BW5" s="74">
        <f>IFERROR(VLOOKUP(K5,[30]Parameters!BN:BW,10,0),0)</f>
        <v>827.44320670591105</v>
      </c>
      <c r="BX5" s="74">
        <f>SUM(tblSOW8[[#This Row],[Jan 2023 USD]:[Mar 2023 USD]])</f>
        <v>0</v>
      </c>
      <c r="BY5" s="74">
        <f>SUM(tblSOW8[[#This Row],[Apr 2023 USD]:[Jun 2023 USD]])</f>
        <v>0</v>
      </c>
      <c r="BZ5" s="74">
        <f>SUM(tblSOW8[[#This Row],[Jul 2023 USD]:[Sep 2023 USD]])</f>
        <v>0</v>
      </c>
      <c r="CA5" s="74">
        <f>SUM(tblSOW8[[#This Row],[Oct 2023 USD]:[Dec 2023 USD]])</f>
        <v>0</v>
      </c>
    </row>
    <row r="6" spans="1:154" s="75" customFormat="1" ht="13.5" customHeight="1">
      <c r="A6" s="67" t="str">
        <f>CONCATENATE(INDEX([30]Parameters!$U$1:$V$20,MATCH(C6,[30]Parameters!$V$1:$V$20,0),1),"/",VLOOKUP(D6,[30]Parameters!$CG$1:$CH$12,2,0),".",E6,".",H6,".",LEFT(J6,3),"-",LEFT(K6,4))</f>
        <v>B20/20.P82.427.950-T109</v>
      </c>
      <c r="B6" s="67" t="s">
        <v>160</v>
      </c>
      <c r="C6" s="67" t="s">
        <v>158</v>
      </c>
      <c r="D6" s="111" t="s">
        <v>95</v>
      </c>
      <c r="E6" s="111" t="str">
        <f>VLOOKUP(F6,[30]Parameters!P:T,4,0)</f>
        <v>P82</v>
      </c>
      <c r="F6" s="111" t="s">
        <v>162</v>
      </c>
      <c r="G6" s="67"/>
      <c r="H6" s="44">
        <f>INDEX([30]Parameters!$B:$C,MATCH(I6,[30]Parameters!$C:$C,0),1)</f>
        <v>427</v>
      </c>
      <c r="I6" s="68" t="s">
        <v>104</v>
      </c>
      <c r="J6" s="68" t="s">
        <v>94</v>
      </c>
      <c r="K6" s="68" t="s">
        <v>105</v>
      </c>
      <c r="L6" s="68"/>
      <c r="M6" s="69"/>
      <c r="N6" s="119"/>
      <c r="O6" s="119"/>
      <c r="P6" s="72">
        <v>44927</v>
      </c>
      <c r="Q6" s="72">
        <v>45016</v>
      </c>
      <c r="R6" s="67"/>
      <c r="S6" s="67">
        <f t="shared" si="0"/>
        <v>3</v>
      </c>
      <c r="T6" s="68"/>
      <c r="U6" s="68">
        <v>4</v>
      </c>
      <c r="V6" s="68"/>
      <c r="W6" s="68" t="str">
        <f>IF(AND(ISNUMBER(SEARCH("-T",tblSOW8[[#This Row],[Budget Item]])),NOT(ISNUMBER(tblSOW8[[#This Row],[Task Units]]))),"Please Enter Task Units",
IF(AND(ISNUMBER(SEARCH("-E000",tblSOW8[[#This Row],[Budget Item]])),NOT(ISNUMBER(tblSOW8[[#This Row],[% work on project]]))),"Please Enter Organic FTE",
IF(AND(ISNUMBER(SEARCH("-E999",tblSOW8[[#This Row],[Budget Item]])),NOT(ISNUMBER(tblSOW8[[#This Row],[External Expenses/Revenues USD]]))),"Please Enter External Expenses",
"")))</f>
        <v/>
      </c>
      <c r="X6" s="67">
        <f>SUM(tblSOW8[[#This Row],[Jan 2023 USD]:[Dec 2023 USD]])</f>
        <v>3309.7728268236438</v>
      </c>
      <c r="Y6" s="74">
        <f>tblSOW8[[#This Row],[FTE Cost]]*tblSOW8[[#This Row],[% work on project]]*AK6/12+tblSOW8[[#This Row],[Task Cost]]*AW6+tblSOW8[[#This Row],[External Expenses/Revenues USD]]*BI6/tblSOW8[[#This Row],[Duration]]</f>
        <v>1103.2576089412146</v>
      </c>
      <c r="Z6" s="74">
        <f>tblSOW8[[#This Row],[FTE Cost]]*tblSOW8[[#This Row],[% work on project]]*AL6/12+tblSOW8[[#This Row],[Task Cost]]*AX6+tblSOW8[[#This Row],[External Expenses/Revenues USD]]*BJ6/tblSOW8[[#This Row],[Duration]]</f>
        <v>1103.2576089412146</v>
      </c>
      <c r="AA6" s="74">
        <f>tblSOW8[[#This Row],[FTE Cost]]*tblSOW8[[#This Row],[% work on project]]*AM6/12+tblSOW8[[#This Row],[Task Cost]]*AY6+tblSOW8[[#This Row],[External Expenses/Revenues USD]]*BK6/tblSOW8[[#This Row],[Duration]]</f>
        <v>1103.2576089412146</v>
      </c>
      <c r="AB6" s="74">
        <f>tblSOW8[[#This Row],[FTE Cost]]*tblSOW8[[#This Row],[% work on project]]*AN6/12+tblSOW8[[#This Row],[Task Cost]]*AZ6+tblSOW8[[#This Row],[External Expenses/Revenues USD]]*BL6/tblSOW8[[#This Row],[Duration]]</f>
        <v>0</v>
      </c>
      <c r="AC6" s="74">
        <f>tblSOW8[[#This Row],[FTE Cost]]*tblSOW8[[#This Row],[% work on project]]*AO6/12+tblSOW8[[#This Row],[Task Cost]]*BA6+tblSOW8[[#This Row],[External Expenses/Revenues USD]]*BM6/tblSOW8[[#This Row],[Duration]]</f>
        <v>0</v>
      </c>
      <c r="AD6" s="74">
        <f>tblSOW8[[#This Row],[FTE Cost]]*tblSOW8[[#This Row],[% work on project]]*AP6/12+tblSOW8[[#This Row],[Task Cost]]*BB6+tblSOW8[[#This Row],[External Expenses/Revenues USD]]*BN6/tblSOW8[[#This Row],[Duration]]</f>
        <v>0</v>
      </c>
      <c r="AE6" s="74">
        <f>tblSOW8[[#This Row],[FTE Cost]]*tblSOW8[[#This Row],[% work on project]]*AQ6/12+tblSOW8[[#This Row],[Task Cost]]*BC6+tblSOW8[[#This Row],[External Expenses/Revenues USD]]*BO6/tblSOW8[[#This Row],[Duration]]</f>
        <v>0</v>
      </c>
      <c r="AF6" s="74">
        <f>tblSOW8[[#This Row],[FTE Cost]]*tblSOW8[[#This Row],[% work on project]]*AR6/12+tblSOW8[[#This Row],[Task Cost]]*BD6+tblSOW8[[#This Row],[External Expenses/Revenues USD]]*BP6/tblSOW8[[#This Row],[Duration]]</f>
        <v>0</v>
      </c>
      <c r="AG6" s="74">
        <f>tblSOW8[[#This Row],[FTE Cost]]*tblSOW8[[#This Row],[% work on project]]*AS6/12+tblSOW8[[#This Row],[Task Cost]]*BE6+tblSOW8[[#This Row],[External Expenses/Revenues USD]]*BQ6/tblSOW8[[#This Row],[Duration]]</f>
        <v>0</v>
      </c>
      <c r="AH6" s="74">
        <f>tblSOW8[[#This Row],[FTE Cost]]*tblSOW8[[#This Row],[% work on project]]*AT6/12+tblSOW8[[#This Row],[Task Cost]]*BF6+tblSOW8[[#This Row],[External Expenses/Revenues USD]]*BR6/tblSOW8[[#This Row],[Duration]]</f>
        <v>0</v>
      </c>
      <c r="AI6" s="74">
        <f>tblSOW8[[#This Row],[FTE Cost]]*tblSOW8[[#This Row],[% work on project]]*AU6/12+tblSOW8[[#This Row],[Task Cost]]*BG6+tblSOW8[[#This Row],[External Expenses/Revenues USD]]*BS6/tblSOW8[[#This Row],[Duration]]</f>
        <v>0</v>
      </c>
      <c r="AJ6" s="74">
        <f>tblSOW8[[#This Row],[FTE Cost]]*tblSOW8[[#This Row],[% work on project]]*AV6/12+tblSOW8[[#This Row],[Task Cost]]*BH6+tblSOW8[[#This Row],[External Expenses/Revenues USD]]*BT6/tblSOW8[[#This Row],[Duration]]</f>
        <v>0</v>
      </c>
      <c r="AK6" s="74">
        <f t="shared" si="1"/>
        <v>1</v>
      </c>
      <c r="AL6" s="74">
        <f t="shared" si="1"/>
        <v>1</v>
      </c>
      <c r="AM6" s="74">
        <f t="shared" si="1"/>
        <v>1</v>
      </c>
      <c r="AN6" s="74">
        <f t="shared" si="1"/>
        <v>0</v>
      </c>
      <c r="AO6" s="74">
        <f t="shared" si="1"/>
        <v>0</v>
      </c>
      <c r="AP6" s="74">
        <f t="shared" si="1"/>
        <v>0</v>
      </c>
      <c r="AQ6" s="74">
        <f t="shared" si="2"/>
        <v>0</v>
      </c>
      <c r="AR6" s="74">
        <f t="shared" si="2"/>
        <v>0</v>
      </c>
      <c r="AS6" s="74">
        <f t="shared" si="2"/>
        <v>0</v>
      </c>
      <c r="AT6" s="74">
        <f t="shared" si="2"/>
        <v>0</v>
      </c>
      <c r="AU6" s="74">
        <f t="shared" si="2"/>
        <v>0</v>
      </c>
      <c r="AV6" s="74">
        <f t="shared" si="2"/>
        <v>0</v>
      </c>
      <c r="AW6" s="74">
        <f t="shared" si="3"/>
        <v>1.3333333333333333</v>
      </c>
      <c r="AX6" s="74">
        <f t="shared" si="3"/>
        <v>1.3333333333333333</v>
      </c>
      <c r="AY6" s="74">
        <f t="shared" si="3"/>
        <v>1.3333333333333333</v>
      </c>
      <c r="AZ6" s="74">
        <f t="shared" si="3"/>
        <v>0</v>
      </c>
      <c r="BA6" s="74">
        <f t="shared" si="3"/>
        <v>0</v>
      </c>
      <c r="BB6" s="74">
        <f t="shared" si="3"/>
        <v>0</v>
      </c>
      <c r="BC6" s="74">
        <f t="shared" si="4"/>
        <v>0</v>
      </c>
      <c r="BD6" s="74">
        <f t="shared" si="4"/>
        <v>0</v>
      </c>
      <c r="BE6" s="74">
        <f t="shared" si="4"/>
        <v>0</v>
      </c>
      <c r="BF6" s="74">
        <f t="shared" si="4"/>
        <v>0</v>
      </c>
      <c r="BG6" s="74">
        <f t="shared" si="4"/>
        <v>0</v>
      </c>
      <c r="BH6" s="74">
        <f t="shared" si="4"/>
        <v>0</v>
      </c>
      <c r="BI6" s="74">
        <f t="shared" si="6"/>
        <v>1</v>
      </c>
      <c r="BJ6" s="74">
        <f t="shared" si="6"/>
        <v>1</v>
      </c>
      <c r="BK6" s="74">
        <f t="shared" si="6"/>
        <v>1</v>
      </c>
      <c r="BL6" s="74">
        <f t="shared" si="6"/>
        <v>0</v>
      </c>
      <c r="BM6" s="74">
        <f t="shared" si="6"/>
        <v>0</v>
      </c>
      <c r="BN6" s="74">
        <f t="shared" si="6"/>
        <v>0</v>
      </c>
      <c r="BO6" s="74">
        <f t="shared" si="6"/>
        <v>0</v>
      </c>
      <c r="BP6" s="74">
        <f t="shared" si="6"/>
        <v>0</v>
      </c>
      <c r="BQ6" s="74">
        <f t="shared" si="6"/>
        <v>0</v>
      </c>
      <c r="BR6" s="74">
        <f t="shared" si="6"/>
        <v>0</v>
      </c>
      <c r="BS6" s="74">
        <f t="shared" si="6"/>
        <v>0</v>
      </c>
      <c r="BT6" s="74">
        <f t="shared" si="6"/>
        <v>0</v>
      </c>
      <c r="BU6" s="74">
        <f>SUM(tblSOW8[[#This Row],[P1]:[P12]])</f>
        <v>3</v>
      </c>
      <c r="BV6" s="74">
        <f>IFERROR(VLOOKUP(H6,[30]Parameters!CK:CN,3,0),0)</f>
        <v>0</v>
      </c>
      <c r="BW6" s="74">
        <f>IFERROR(VLOOKUP(K6,[30]Parameters!BN:BW,10,0),0)</f>
        <v>827.44320670591105</v>
      </c>
      <c r="BX6" s="74">
        <f>SUM(tblSOW8[[#This Row],[Jan 2023 USD]:[Mar 2023 USD]])</f>
        <v>3309.7728268236438</v>
      </c>
      <c r="BY6" s="74">
        <f>SUM(tblSOW8[[#This Row],[Apr 2023 USD]:[Jun 2023 USD]])</f>
        <v>0</v>
      </c>
      <c r="BZ6" s="74">
        <f>SUM(tblSOW8[[#This Row],[Jul 2023 USD]:[Sep 2023 USD]])</f>
        <v>0</v>
      </c>
      <c r="CA6" s="74">
        <f>SUM(tblSOW8[[#This Row],[Oct 2023 USD]:[Dec 2023 USD]])</f>
        <v>0</v>
      </c>
    </row>
    <row r="7" spans="1:154" s="75" customFormat="1" ht="13.5" customHeight="1">
      <c r="A7" s="67" t="str">
        <f>CONCATENATE(INDEX([30]Parameters!$U$1:$V$20,MATCH(C7,[30]Parameters!$V$1:$V$20,0),1),"/",VLOOKUP(D7,[30]Parameters!$CG$1:$CH$12,2,0),".",E7,".",H7,".",LEFT(J7,3),"-",LEFT(K7,4))</f>
        <v>B20/20.P19.427.950-T109</v>
      </c>
      <c r="B7" s="67" t="s">
        <v>160</v>
      </c>
      <c r="C7" s="67" t="s">
        <v>158</v>
      </c>
      <c r="D7" s="111" t="s">
        <v>95</v>
      </c>
      <c r="E7" s="111" t="str">
        <f>VLOOKUP(F7,[30]Parameters!P:T,4,0)</f>
        <v>P19</v>
      </c>
      <c r="F7" s="111" t="s">
        <v>159</v>
      </c>
      <c r="G7" s="67"/>
      <c r="H7" s="44">
        <f>INDEX([30]Parameters!$B:$C,MATCH(I7,[30]Parameters!$C:$C,0),1)</f>
        <v>427</v>
      </c>
      <c r="I7" s="68" t="s">
        <v>104</v>
      </c>
      <c r="J7" s="68" t="s">
        <v>94</v>
      </c>
      <c r="K7" s="68" t="s">
        <v>105</v>
      </c>
      <c r="L7" s="68"/>
      <c r="M7" s="69"/>
      <c r="N7" s="119"/>
      <c r="O7" s="119"/>
      <c r="P7" s="72">
        <v>44927</v>
      </c>
      <c r="Q7" s="72">
        <v>45016</v>
      </c>
      <c r="R7" s="67"/>
      <c r="S7" s="67">
        <f t="shared" si="0"/>
        <v>3</v>
      </c>
      <c r="T7" s="68"/>
      <c r="U7" s="68"/>
      <c r="V7" s="68"/>
      <c r="W7" s="68" t="str">
        <f>IF(AND(ISNUMBER(SEARCH("-T",tblSOW8[[#This Row],[Budget Item]])),NOT(ISNUMBER(tblSOW8[[#This Row],[Task Units]]))),"Please Enter Task Units",
IF(AND(ISNUMBER(SEARCH("-E000",tblSOW8[[#This Row],[Budget Item]])),NOT(ISNUMBER(tblSOW8[[#This Row],[% work on project]]))),"Please Enter Organic FTE",
IF(AND(ISNUMBER(SEARCH("-E999",tblSOW8[[#This Row],[Budget Item]])),NOT(ISNUMBER(tblSOW8[[#This Row],[External Expenses/Revenues USD]]))),"Please Enter External Expenses",
"")))</f>
        <v>Please Enter Task Units</v>
      </c>
      <c r="X7" s="67">
        <f>SUM(tblSOW8[[#This Row],[Jan 2023 USD]:[Dec 2023 USD]])</f>
        <v>0</v>
      </c>
      <c r="Y7" s="74">
        <f>tblSOW8[[#This Row],[FTE Cost]]*tblSOW8[[#This Row],[% work on project]]*AK7/12+tblSOW8[[#This Row],[Task Cost]]*AW7+tblSOW8[[#This Row],[External Expenses/Revenues USD]]*BI7/tblSOW8[[#This Row],[Duration]]</f>
        <v>0</v>
      </c>
      <c r="Z7" s="74">
        <f>tblSOW8[[#This Row],[FTE Cost]]*tblSOW8[[#This Row],[% work on project]]*AL7/12+tblSOW8[[#This Row],[Task Cost]]*AX7+tblSOW8[[#This Row],[External Expenses/Revenues USD]]*BJ7/tblSOW8[[#This Row],[Duration]]</f>
        <v>0</v>
      </c>
      <c r="AA7" s="74">
        <f>tblSOW8[[#This Row],[FTE Cost]]*tblSOW8[[#This Row],[% work on project]]*AM7/12+tblSOW8[[#This Row],[Task Cost]]*AY7+tblSOW8[[#This Row],[External Expenses/Revenues USD]]*BK7/tblSOW8[[#This Row],[Duration]]</f>
        <v>0</v>
      </c>
      <c r="AB7" s="74">
        <f>tblSOW8[[#This Row],[FTE Cost]]*tblSOW8[[#This Row],[% work on project]]*AN7/12+tblSOW8[[#This Row],[Task Cost]]*AZ7+tblSOW8[[#This Row],[External Expenses/Revenues USD]]*BL7/tblSOW8[[#This Row],[Duration]]</f>
        <v>0</v>
      </c>
      <c r="AC7" s="74">
        <f>tblSOW8[[#This Row],[FTE Cost]]*tblSOW8[[#This Row],[% work on project]]*AO7/12+tblSOW8[[#This Row],[Task Cost]]*BA7+tblSOW8[[#This Row],[External Expenses/Revenues USD]]*BM7/tblSOW8[[#This Row],[Duration]]</f>
        <v>0</v>
      </c>
      <c r="AD7" s="74">
        <f>tblSOW8[[#This Row],[FTE Cost]]*tblSOW8[[#This Row],[% work on project]]*AP7/12+tblSOW8[[#This Row],[Task Cost]]*BB7+tblSOW8[[#This Row],[External Expenses/Revenues USD]]*BN7/tblSOW8[[#This Row],[Duration]]</f>
        <v>0</v>
      </c>
      <c r="AE7" s="74">
        <f>tblSOW8[[#This Row],[FTE Cost]]*tblSOW8[[#This Row],[% work on project]]*AQ7/12+tblSOW8[[#This Row],[Task Cost]]*BC7+tblSOW8[[#This Row],[External Expenses/Revenues USD]]*BO7/tblSOW8[[#This Row],[Duration]]</f>
        <v>0</v>
      </c>
      <c r="AF7" s="74">
        <f>tblSOW8[[#This Row],[FTE Cost]]*tblSOW8[[#This Row],[% work on project]]*AR7/12+tblSOW8[[#This Row],[Task Cost]]*BD7+tblSOW8[[#This Row],[External Expenses/Revenues USD]]*BP7/tblSOW8[[#This Row],[Duration]]</f>
        <v>0</v>
      </c>
      <c r="AG7" s="74">
        <f>tblSOW8[[#This Row],[FTE Cost]]*tblSOW8[[#This Row],[% work on project]]*AS7/12+tblSOW8[[#This Row],[Task Cost]]*BE7+tblSOW8[[#This Row],[External Expenses/Revenues USD]]*BQ7/tblSOW8[[#This Row],[Duration]]</f>
        <v>0</v>
      </c>
      <c r="AH7" s="74">
        <f>tblSOW8[[#This Row],[FTE Cost]]*tblSOW8[[#This Row],[% work on project]]*AT7/12+tblSOW8[[#This Row],[Task Cost]]*BF7+tblSOW8[[#This Row],[External Expenses/Revenues USD]]*BR7/tblSOW8[[#This Row],[Duration]]</f>
        <v>0</v>
      </c>
      <c r="AI7" s="74">
        <f>tblSOW8[[#This Row],[FTE Cost]]*tblSOW8[[#This Row],[% work on project]]*AU7/12+tblSOW8[[#This Row],[Task Cost]]*BG7+tblSOW8[[#This Row],[External Expenses/Revenues USD]]*BS7/tblSOW8[[#This Row],[Duration]]</f>
        <v>0</v>
      </c>
      <c r="AJ7" s="74">
        <f>tblSOW8[[#This Row],[FTE Cost]]*tblSOW8[[#This Row],[% work on project]]*AV7/12+tblSOW8[[#This Row],[Task Cost]]*BH7+tblSOW8[[#This Row],[External Expenses/Revenues USD]]*BT7/tblSOW8[[#This Row],[Duration]]</f>
        <v>0</v>
      </c>
      <c r="AK7" s="74">
        <f t="shared" si="1"/>
        <v>1</v>
      </c>
      <c r="AL7" s="74">
        <f t="shared" si="1"/>
        <v>1</v>
      </c>
      <c r="AM7" s="74">
        <f t="shared" si="1"/>
        <v>1</v>
      </c>
      <c r="AN7" s="74">
        <f t="shared" si="1"/>
        <v>0</v>
      </c>
      <c r="AO7" s="74">
        <f t="shared" si="1"/>
        <v>0</v>
      </c>
      <c r="AP7" s="74">
        <f t="shared" si="1"/>
        <v>0</v>
      </c>
      <c r="AQ7" s="74">
        <f t="shared" si="2"/>
        <v>0</v>
      </c>
      <c r="AR7" s="74">
        <f t="shared" si="2"/>
        <v>0</v>
      </c>
      <c r="AS7" s="74">
        <f t="shared" si="2"/>
        <v>0</v>
      </c>
      <c r="AT7" s="74">
        <f t="shared" si="2"/>
        <v>0</v>
      </c>
      <c r="AU7" s="74">
        <f t="shared" si="2"/>
        <v>0</v>
      </c>
      <c r="AV7" s="74">
        <f t="shared" si="2"/>
        <v>0</v>
      </c>
      <c r="AW7" s="74">
        <f t="shared" si="3"/>
        <v>0</v>
      </c>
      <c r="AX7" s="74">
        <f t="shared" si="3"/>
        <v>0</v>
      </c>
      <c r="AY7" s="74">
        <f t="shared" si="3"/>
        <v>0</v>
      </c>
      <c r="AZ7" s="74">
        <f t="shared" si="3"/>
        <v>0</v>
      </c>
      <c r="BA7" s="74">
        <f t="shared" si="3"/>
        <v>0</v>
      </c>
      <c r="BB7" s="74">
        <f t="shared" si="3"/>
        <v>0</v>
      </c>
      <c r="BC7" s="74">
        <f t="shared" si="4"/>
        <v>0</v>
      </c>
      <c r="BD7" s="74">
        <f t="shared" si="4"/>
        <v>0</v>
      </c>
      <c r="BE7" s="74">
        <f t="shared" si="4"/>
        <v>0</v>
      </c>
      <c r="BF7" s="74">
        <f t="shared" si="4"/>
        <v>0</v>
      </c>
      <c r="BG7" s="74">
        <f t="shared" si="4"/>
        <v>0</v>
      </c>
      <c r="BH7" s="74">
        <f t="shared" si="4"/>
        <v>0</v>
      </c>
      <c r="BI7" s="74">
        <f t="shared" si="6"/>
        <v>1</v>
      </c>
      <c r="BJ7" s="74">
        <f t="shared" si="6"/>
        <v>1</v>
      </c>
      <c r="BK7" s="74">
        <f t="shared" si="6"/>
        <v>1</v>
      </c>
      <c r="BL7" s="74">
        <f t="shared" si="6"/>
        <v>0</v>
      </c>
      <c r="BM7" s="74">
        <f t="shared" si="6"/>
        <v>0</v>
      </c>
      <c r="BN7" s="74">
        <f t="shared" si="6"/>
        <v>0</v>
      </c>
      <c r="BO7" s="74">
        <f t="shared" si="6"/>
        <v>0</v>
      </c>
      <c r="BP7" s="74">
        <f t="shared" si="6"/>
        <v>0</v>
      </c>
      <c r="BQ7" s="74">
        <f t="shared" si="6"/>
        <v>0</v>
      </c>
      <c r="BR7" s="74">
        <f t="shared" si="6"/>
        <v>0</v>
      </c>
      <c r="BS7" s="74">
        <f t="shared" si="6"/>
        <v>0</v>
      </c>
      <c r="BT7" s="74">
        <f t="shared" si="6"/>
        <v>0</v>
      </c>
      <c r="BU7" s="74">
        <f>SUM(tblSOW8[[#This Row],[P1]:[P12]])</f>
        <v>3</v>
      </c>
      <c r="BV7" s="74">
        <f>IFERROR(VLOOKUP(H7,[30]Parameters!CK:CN,3,0),0)</f>
        <v>0</v>
      </c>
      <c r="BW7" s="74">
        <f>IFERROR(VLOOKUP(K7,[30]Parameters!BN:BW,10,0),0)</f>
        <v>827.44320670591105</v>
      </c>
      <c r="BX7" s="74">
        <f>SUM(tblSOW8[[#This Row],[Jan 2023 USD]:[Mar 2023 USD]])</f>
        <v>0</v>
      </c>
      <c r="BY7" s="74">
        <f>SUM(tblSOW8[[#This Row],[Apr 2023 USD]:[Jun 2023 USD]])</f>
        <v>0</v>
      </c>
      <c r="BZ7" s="74">
        <f>SUM(tblSOW8[[#This Row],[Jul 2023 USD]:[Sep 2023 USD]])</f>
        <v>0</v>
      </c>
      <c r="CA7" s="74">
        <f>SUM(tblSOW8[[#This Row],[Oct 2023 USD]:[Dec 2023 USD]])</f>
        <v>0</v>
      </c>
    </row>
    <row r="8" spans="1:154" s="75" customFormat="1" ht="13.5" customHeight="1">
      <c r="A8" s="67" t="str">
        <f>CONCATENATE(INDEX([30]Parameters!$U$1:$V$20,MATCH(C8,[30]Parameters!$V$1:$V$20,0),1),"/",VLOOKUP(D8,[30]Parameters!$CG$1:$CH$12,2,0),".",E8,".",H8,".",LEFT(J8,3),"-",LEFT(K8,4))</f>
        <v>B20/20.P192.427.950-T109</v>
      </c>
      <c r="B8" s="67" t="s">
        <v>160</v>
      </c>
      <c r="C8" s="67" t="s">
        <v>158</v>
      </c>
      <c r="D8" s="111" t="s">
        <v>95</v>
      </c>
      <c r="E8" s="111" t="str">
        <f>VLOOKUP(F8,[30]Parameters!P:T,4,0)</f>
        <v>P192</v>
      </c>
      <c r="F8" s="111" t="s">
        <v>163</v>
      </c>
      <c r="G8" s="67"/>
      <c r="H8" s="44">
        <f>INDEX([30]Parameters!$B:$C,MATCH(I8,[30]Parameters!$C:$C,0),1)</f>
        <v>427</v>
      </c>
      <c r="I8" s="68" t="s">
        <v>104</v>
      </c>
      <c r="J8" s="68" t="s">
        <v>94</v>
      </c>
      <c r="K8" s="68" t="s">
        <v>105</v>
      </c>
      <c r="L8" s="68"/>
      <c r="M8" s="69"/>
      <c r="N8" s="119"/>
      <c r="O8" s="119"/>
      <c r="P8" s="72">
        <v>45017</v>
      </c>
      <c r="Q8" s="72">
        <v>45107</v>
      </c>
      <c r="R8" s="67"/>
      <c r="S8" s="67">
        <f t="shared" si="0"/>
        <v>3</v>
      </c>
      <c r="T8" s="68"/>
      <c r="U8" s="68">
        <v>1</v>
      </c>
      <c r="V8" s="68"/>
      <c r="W8" s="68" t="str">
        <f>IF(AND(ISNUMBER(SEARCH("-T",tblSOW8[[#This Row],[Budget Item]])),NOT(ISNUMBER(tblSOW8[[#This Row],[Task Units]]))),"Please Enter Task Units",
IF(AND(ISNUMBER(SEARCH("-E000",tblSOW8[[#This Row],[Budget Item]])),NOT(ISNUMBER(tblSOW8[[#This Row],[% work on project]]))),"Please Enter Organic FTE",
IF(AND(ISNUMBER(SEARCH("-E999",tblSOW8[[#This Row],[Budget Item]])),NOT(ISNUMBER(tblSOW8[[#This Row],[External Expenses/Revenues USD]]))),"Please Enter External Expenses",
"")))</f>
        <v/>
      </c>
      <c r="X8" s="67">
        <f>SUM(tblSOW8[[#This Row],[Jan 2023 USD]:[Dec 2023 USD]])</f>
        <v>827.44320670591094</v>
      </c>
      <c r="Y8" s="74">
        <f>tblSOW8[[#This Row],[FTE Cost]]*tblSOW8[[#This Row],[% work on project]]*AK8/12+tblSOW8[[#This Row],[Task Cost]]*AW8+tblSOW8[[#This Row],[External Expenses/Revenues USD]]*BI8/tblSOW8[[#This Row],[Duration]]</f>
        <v>0</v>
      </c>
      <c r="Z8" s="74">
        <f>tblSOW8[[#This Row],[FTE Cost]]*tblSOW8[[#This Row],[% work on project]]*AL8/12+tblSOW8[[#This Row],[Task Cost]]*AX8+tblSOW8[[#This Row],[External Expenses/Revenues USD]]*BJ8/tblSOW8[[#This Row],[Duration]]</f>
        <v>0</v>
      </c>
      <c r="AA8" s="74">
        <f>tblSOW8[[#This Row],[FTE Cost]]*tblSOW8[[#This Row],[% work on project]]*AM8/12+tblSOW8[[#This Row],[Task Cost]]*AY8+tblSOW8[[#This Row],[External Expenses/Revenues USD]]*BK8/tblSOW8[[#This Row],[Duration]]</f>
        <v>0</v>
      </c>
      <c r="AB8" s="74">
        <f>tblSOW8[[#This Row],[FTE Cost]]*tblSOW8[[#This Row],[% work on project]]*AN8/12+tblSOW8[[#This Row],[Task Cost]]*AZ8+tblSOW8[[#This Row],[External Expenses/Revenues USD]]*BL8/tblSOW8[[#This Row],[Duration]]</f>
        <v>275.81440223530365</v>
      </c>
      <c r="AC8" s="74">
        <f>tblSOW8[[#This Row],[FTE Cost]]*tblSOW8[[#This Row],[% work on project]]*AO8/12+tblSOW8[[#This Row],[Task Cost]]*BA8+tblSOW8[[#This Row],[External Expenses/Revenues USD]]*BM8/tblSOW8[[#This Row],[Duration]]</f>
        <v>275.81440223530365</v>
      </c>
      <c r="AD8" s="74">
        <f>tblSOW8[[#This Row],[FTE Cost]]*tblSOW8[[#This Row],[% work on project]]*AP8/12+tblSOW8[[#This Row],[Task Cost]]*BB8+tblSOW8[[#This Row],[External Expenses/Revenues USD]]*BN8/tblSOW8[[#This Row],[Duration]]</f>
        <v>275.81440223530365</v>
      </c>
      <c r="AE8" s="74">
        <f>tblSOW8[[#This Row],[FTE Cost]]*tblSOW8[[#This Row],[% work on project]]*AQ8/12+tblSOW8[[#This Row],[Task Cost]]*BC8+tblSOW8[[#This Row],[External Expenses/Revenues USD]]*BO8/tblSOW8[[#This Row],[Duration]]</f>
        <v>0</v>
      </c>
      <c r="AF8" s="74">
        <f>tblSOW8[[#This Row],[FTE Cost]]*tblSOW8[[#This Row],[% work on project]]*AR8/12+tblSOW8[[#This Row],[Task Cost]]*BD8+tblSOW8[[#This Row],[External Expenses/Revenues USD]]*BP8/tblSOW8[[#This Row],[Duration]]</f>
        <v>0</v>
      </c>
      <c r="AG8" s="74">
        <f>tblSOW8[[#This Row],[FTE Cost]]*tblSOW8[[#This Row],[% work on project]]*AS8/12+tblSOW8[[#This Row],[Task Cost]]*BE8+tblSOW8[[#This Row],[External Expenses/Revenues USD]]*BQ8/tblSOW8[[#This Row],[Duration]]</f>
        <v>0</v>
      </c>
      <c r="AH8" s="74">
        <f>tblSOW8[[#This Row],[FTE Cost]]*tblSOW8[[#This Row],[% work on project]]*AT8/12+tblSOW8[[#This Row],[Task Cost]]*BF8+tblSOW8[[#This Row],[External Expenses/Revenues USD]]*BR8/tblSOW8[[#This Row],[Duration]]</f>
        <v>0</v>
      </c>
      <c r="AI8" s="74">
        <f>tblSOW8[[#This Row],[FTE Cost]]*tblSOW8[[#This Row],[% work on project]]*AU8/12+tblSOW8[[#This Row],[Task Cost]]*BG8+tblSOW8[[#This Row],[External Expenses/Revenues USD]]*BS8/tblSOW8[[#This Row],[Duration]]</f>
        <v>0</v>
      </c>
      <c r="AJ8" s="74">
        <f>tblSOW8[[#This Row],[FTE Cost]]*tblSOW8[[#This Row],[% work on project]]*AV8/12+tblSOW8[[#This Row],[Task Cost]]*BH8+tblSOW8[[#This Row],[External Expenses/Revenues USD]]*BT8/tblSOW8[[#This Row],[Duration]]</f>
        <v>0</v>
      </c>
      <c r="AK8" s="74">
        <f t="shared" si="1"/>
        <v>0</v>
      </c>
      <c r="AL8" s="74">
        <f t="shared" si="1"/>
        <v>0</v>
      </c>
      <c r="AM8" s="74">
        <f t="shared" si="1"/>
        <v>0</v>
      </c>
      <c r="AN8" s="74">
        <f t="shared" si="1"/>
        <v>1</v>
      </c>
      <c r="AO8" s="74">
        <f t="shared" si="1"/>
        <v>1</v>
      </c>
      <c r="AP8" s="74">
        <f t="shared" si="1"/>
        <v>1</v>
      </c>
      <c r="AQ8" s="74">
        <f t="shared" si="2"/>
        <v>0</v>
      </c>
      <c r="AR8" s="74">
        <f t="shared" si="2"/>
        <v>0</v>
      </c>
      <c r="AS8" s="74">
        <f t="shared" si="2"/>
        <v>0</v>
      </c>
      <c r="AT8" s="74">
        <f t="shared" si="2"/>
        <v>0</v>
      </c>
      <c r="AU8" s="74">
        <f t="shared" si="2"/>
        <v>0</v>
      </c>
      <c r="AV8" s="74">
        <f t="shared" si="2"/>
        <v>0</v>
      </c>
      <c r="AW8" s="74">
        <f t="shared" si="3"/>
        <v>0</v>
      </c>
      <c r="AX8" s="74">
        <f t="shared" si="3"/>
        <v>0</v>
      </c>
      <c r="AY8" s="74">
        <f t="shared" si="3"/>
        <v>0</v>
      </c>
      <c r="AZ8" s="74">
        <f t="shared" si="3"/>
        <v>0.33333333333333331</v>
      </c>
      <c r="BA8" s="74">
        <f t="shared" si="3"/>
        <v>0.33333333333333331</v>
      </c>
      <c r="BB8" s="74">
        <f t="shared" si="3"/>
        <v>0.33333333333333331</v>
      </c>
      <c r="BC8" s="74">
        <f t="shared" si="4"/>
        <v>0</v>
      </c>
      <c r="BD8" s="74">
        <f t="shared" si="4"/>
        <v>0</v>
      </c>
      <c r="BE8" s="74">
        <f t="shared" si="4"/>
        <v>0</v>
      </c>
      <c r="BF8" s="74">
        <f t="shared" si="4"/>
        <v>0</v>
      </c>
      <c r="BG8" s="74">
        <f t="shared" si="4"/>
        <v>0</v>
      </c>
      <c r="BH8" s="74">
        <f t="shared" si="4"/>
        <v>0</v>
      </c>
      <c r="BI8" s="74">
        <f t="shared" si="6"/>
        <v>0</v>
      </c>
      <c r="BJ8" s="74">
        <f t="shared" si="6"/>
        <v>0</v>
      </c>
      <c r="BK8" s="74">
        <f t="shared" si="6"/>
        <v>0</v>
      </c>
      <c r="BL8" s="74">
        <f t="shared" si="6"/>
        <v>1</v>
      </c>
      <c r="BM8" s="74">
        <f t="shared" si="6"/>
        <v>1</v>
      </c>
      <c r="BN8" s="74">
        <f t="shared" si="6"/>
        <v>1</v>
      </c>
      <c r="BO8" s="74">
        <f t="shared" si="6"/>
        <v>0</v>
      </c>
      <c r="BP8" s="74">
        <f t="shared" si="6"/>
        <v>0</v>
      </c>
      <c r="BQ8" s="74">
        <f t="shared" si="6"/>
        <v>0</v>
      </c>
      <c r="BR8" s="74">
        <f t="shared" si="6"/>
        <v>0</v>
      </c>
      <c r="BS8" s="74">
        <f t="shared" si="6"/>
        <v>0</v>
      </c>
      <c r="BT8" s="74">
        <f t="shared" si="6"/>
        <v>0</v>
      </c>
      <c r="BU8" s="74">
        <f>SUM(tblSOW8[[#This Row],[P1]:[P12]])</f>
        <v>3</v>
      </c>
      <c r="BV8" s="74">
        <f>IFERROR(VLOOKUP(H8,[30]Parameters!CK:CN,3,0),0)</f>
        <v>0</v>
      </c>
      <c r="BW8" s="74">
        <f>IFERROR(VLOOKUP(K8,[30]Parameters!BN:BW,10,0),0)</f>
        <v>827.44320670591105</v>
      </c>
      <c r="BX8" s="74">
        <f>SUM(tblSOW8[[#This Row],[Jan 2023 USD]:[Mar 2023 USD]])</f>
        <v>0</v>
      </c>
      <c r="BY8" s="74">
        <f>SUM(tblSOW8[[#This Row],[Apr 2023 USD]:[Jun 2023 USD]])</f>
        <v>827.44320670591094</v>
      </c>
      <c r="BZ8" s="74">
        <f>SUM(tblSOW8[[#This Row],[Jul 2023 USD]:[Sep 2023 USD]])</f>
        <v>0</v>
      </c>
      <c r="CA8" s="74">
        <f>SUM(tblSOW8[[#This Row],[Oct 2023 USD]:[Dec 2023 USD]])</f>
        <v>0</v>
      </c>
    </row>
    <row r="9" spans="1:154" s="75" customFormat="1" ht="13.5" customHeight="1">
      <c r="A9" s="67" t="str">
        <f>CONCATENATE(INDEX([30]Parameters!$U$1:$V$20,MATCH(C9,[30]Parameters!$V$1:$V$20,0),1),"/",VLOOKUP(D9,[30]Parameters!$CG$1:$CH$12,2,0),".",E9,".",H9,".",LEFT(J9,3),"-",LEFT(K9,4))</f>
        <v>B20/20.P145.427.950-T109</v>
      </c>
      <c r="B9" s="67" t="s">
        <v>160</v>
      </c>
      <c r="C9" s="67" t="s">
        <v>158</v>
      </c>
      <c r="D9" s="111" t="s">
        <v>95</v>
      </c>
      <c r="E9" s="111" t="str">
        <f>VLOOKUP(F9,[30]Parameters!P:T,4,0)</f>
        <v>P145</v>
      </c>
      <c r="F9" s="111" t="s">
        <v>161</v>
      </c>
      <c r="G9" s="67"/>
      <c r="H9" s="44">
        <f>INDEX([30]Parameters!$B:$C,MATCH(I9,[30]Parameters!$C:$C,0),1)</f>
        <v>427</v>
      </c>
      <c r="I9" s="68" t="s">
        <v>104</v>
      </c>
      <c r="J9" s="68" t="s">
        <v>94</v>
      </c>
      <c r="K9" s="68" t="s">
        <v>105</v>
      </c>
      <c r="L9" s="68"/>
      <c r="M9" s="69"/>
      <c r="N9" s="119"/>
      <c r="O9" s="119"/>
      <c r="P9" s="72">
        <v>45017</v>
      </c>
      <c r="Q9" s="72">
        <v>45107</v>
      </c>
      <c r="R9" s="67"/>
      <c r="S9" s="67">
        <f t="shared" ref="S9:S35" si="7">IF(OR(P9="",Q9=""),0,MONTH(Q9)-MONTH(P9)+1)</f>
        <v>3</v>
      </c>
      <c r="T9" s="68"/>
      <c r="U9" s="68"/>
      <c r="V9" s="68"/>
      <c r="W9" s="68" t="str">
        <f>IF(AND(ISNUMBER(SEARCH("-T",tblSOW8[[#This Row],[Budget Item]])),NOT(ISNUMBER(tblSOW8[[#This Row],[Task Units]]))),"Please Enter Task Units",
IF(AND(ISNUMBER(SEARCH("-E000",tblSOW8[[#This Row],[Budget Item]])),NOT(ISNUMBER(tblSOW8[[#This Row],[% work on project]]))),"Please Enter Organic FTE",
IF(AND(ISNUMBER(SEARCH("-E999",tblSOW8[[#This Row],[Budget Item]])),NOT(ISNUMBER(tblSOW8[[#This Row],[External Expenses/Revenues USD]]))),"Please Enter External Expenses",
"")))</f>
        <v>Please Enter Task Units</v>
      </c>
      <c r="X9" s="67">
        <f>SUM(tblSOW8[[#This Row],[Jan 2023 USD]:[Dec 2023 USD]])</f>
        <v>0</v>
      </c>
      <c r="Y9" s="74">
        <f>tblSOW8[[#This Row],[FTE Cost]]*tblSOW8[[#This Row],[% work on project]]*AK9/12+tblSOW8[[#This Row],[Task Cost]]*AW9+tblSOW8[[#This Row],[External Expenses/Revenues USD]]*BI9/tblSOW8[[#This Row],[Duration]]</f>
        <v>0</v>
      </c>
      <c r="Z9" s="74">
        <f>tblSOW8[[#This Row],[FTE Cost]]*tblSOW8[[#This Row],[% work on project]]*AL9/12+tblSOW8[[#This Row],[Task Cost]]*AX9+tblSOW8[[#This Row],[External Expenses/Revenues USD]]*BJ9/tblSOW8[[#This Row],[Duration]]</f>
        <v>0</v>
      </c>
      <c r="AA9" s="74">
        <f>tblSOW8[[#This Row],[FTE Cost]]*tblSOW8[[#This Row],[% work on project]]*AM9/12+tblSOW8[[#This Row],[Task Cost]]*AY9+tblSOW8[[#This Row],[External Expenses/Revenues USD]]*BK9/tblSOW8[[#This Row],[Duration]]</f>
        <v>0</v>
      </c>
      <c r="AB9" s="74">
        <f>tblSOW8[[#This Row],[FTE Cost]]*tblSOW8[[#This Row],[% work on project]]*AN9/12+tblSOW8[[#This Row],[Task Cost]]*AZ9+tblSOW8[[#This Row],[External Expenses/Revenues USD]]*BL9/tblSOW8[[#This Row],[Duration]]</f>
        <v>0</v>
      </c>
      <c r="AC9" s="74">
        <f>tblSOW8[[#This Row],[FTE Cost]]*tblSOW8[[#This Row],[% work on project]]*AO9/12+tblSOW8[[#This Row],[Task Cost]]*BA9+tblSOW8[[#This Row],[External Expenses/Revenues USD]]*BM9/tblSOW8[[#This Row],[Duration]]</f>
        <v>0</v>
      </c>
      <c r="AD9" s="74">
        <f>tblSOW8[[#This Row],[FTE Cost]]*tblSOW8[[#This Row],[% work on project]]*AP9/12+tblSOW8[[#This Row],[Task Cost]]*BB9+tblSOW8[[#This Row],[External Expenses/Revenues USD]]*BN9/tblSOW8[[#This Row],[Duration]]</f>
        <v>0</v>
      </c>
      <c r="AE9" s="74">
        <f>tblSOW8[[#This Row],[FTE Cost]]*tblSOW8[[#This Row],[% work on project]]*AQ9/12+tblSOW8[[#This Row],[Task Cost]]*BC9+tblSOW8[[#This Row],[External Expenses/Revenues USD]]*BO9/tblSOW8[[#This Row],[Duration]]</f>
        <v>0</v>
      </c>
      <c r="AF9" s="74">
        <f>tblSOW8[[#This Row],[FTE Cost]]*tblSOW8[[#This Row],[% work on project]]*AR9/12+tblSOW8[[#This Row],[Task Cost]]*BD9+tblSOW8[[#This Row],[External Expenses/Revenues USD]]*BP9/tblSOW8[[#This Row],[Duration]]</f>
        <v>0</v>
      </c>
      <c r="AG9" s="74">
        <f>tblSOW8[[#This Row],[FTE Cost]]*tblSOW8[[#This Row],[% work on project]]*AS9/12+tblSOW8[[#This Row],[Task Cost]]*BE9+tblSOW8[[#This Row],[External Expenses/Revenues USD]]*BQ9/tblSOW8[[#This Row],[Duration]]</f>
        <v>0</v>
      </c>
      <c r="AH9" s="74">
        <f>tblSOW8[[#This Row],[FTE Cost]]*tblSOW8[[#This Row],[% work on project]]*AT9/12+tblSOW8[[#This Row],[Task Cost]]*BF9+tblSOW8[[#This Row],[External Expenses/Revenues USD]]*BR9/tblSOW8[[#This Row],[Duration]]</f>
        <v>0</v>
      </c>
      <c r="AI9" s="74">
        <f>tblSOW8[[#This Row],[FTE Cost]]*tblSOW8[[#This Row],[% work on project]]*AU9/12+tblSOW8[[#This Row],[Task Cost]]*BG9+tblSOW8[[#This Row],[External Expenses/Revenues USD]]*BS9/tblSOW8[[#This Row],[Duration]]</f>
        <v>0</v>
      </c>
      <c r="AJ9" s="74">
        <f>tblSOW8[[#This Row],[FTE Cost]]*tblSOW8[[#This Row],[% work on project]]*AV9/12+tblSOW8[[#This Row],[Task Cost]]*BH9+tblSOW8[[#This Row],[External Expenses/Revenues USD]]*BT9/tblSOW8[[#This Row],[Duration]]</f>
        <v>0</v>
      </c>
      <c r="AK9" s="74">
        <f t="shared" si="1"/>
        <v>0</v>
      </c>
      <c r="AL9" s="74">
        <f t="shared" si="1"/>
        <v>0</v>
      </c>
      <c r="AM9" s="74">
        <f t="shared" si="1"/>
        <v>0</v>
      </c>
      <c r="AN9" s="74">
        <f t="shared" si="1"/>
        <v>1</v>
      </c>
      <c r="AO9" s="74">
        <f t="shared" si="1"/>
        <v>1</v>
      </c>
      <c r="AP9" s="74">
        <f t="shared" si="1"/>
        <v>1</v>
      </c>
      <c r="AQ9" s="74">
        <f t="shared" si="2"/>
        <v>0</v>
      </c>
      <c r="AR9" s="74">
        <f t="shared" si="2"/>
        <v>0</v>
      </c>
      <c r="AS9" s="74">
        <f t="shared" si="2"/>
        <v>0</v>
      </c>
      <c r="AT9" s="74">
        <f t="shared" si="2"/>
        <v>0</v>
      </c>
      <c r="AU9" s="74">
        <f t="shared" si="2"/>
        <v>0</v>
      </c>
      <c r="AV9" s="74">
        <f t="shared" si="2"/>
        <v>0</v>
      </c>
      <c r="AW9" s="74">
        <f t="shared" si="3"/>
        <v>0</v>
      </c>
      <c r="AX9" s="74">
        <f t="shared" si="3"/>
        <v>0</v>
      </c>
      <c r="AY9" s="74">
        <f t="shared" si="3"/>
        <v>0</v>
      </c>
      <c r="AZ9" s="74">
        <f t="shared" si="3"/>
        <v>0</v>
      </c>
      <c r="BA9" s="74">
        <f t="shared" si="3"/>
        <v>0</v>
      </c>
      <c r="BB9" s="74">
        <f t="shared" si="3"/>
        <v>0</v>
      </c>
      <c r="BC9" s="74">
        <f t="shared" si="4"/>
        <v>0</v>
      </c>
      <c r="BD9" s="74">
        <f t="shared" si="4"/>
        <v>0</v>
      </c>
      <c r="BE9" s="74">
        <f t="shared" si="4"/>
        <v>0</v>
      </c>
      <c r="BF9" s="74">
        <f t="shared" si="4"/>
        <v>0</v>
      </c>
      <c r="BG9" s="74">
        <f t="shared" si="4"/>
        <v>0</v>
      </c>
      <c r="BH9" s="74">
        <f t="shared" si="4"/>
        <v>0</v>
      </c>
      <c r="BI9" s="74">
        <f t="shared" si="6"/>
        <v>0</v>
      </c>
      <c r="BJ9" s="74">
        <f t="shared" si="6"/>
        <v>0</v>
      </c>
      <c r="BK9" s="74">
        <f t="shared" si="6"/>
        <v>0</v>
      </c>
      <c r="BL9" s="74">
        <f t="shared" si="6"/>
        <v>1</v>
      </c>
      <c r="BM9" s="74">
        <f t="shared" si="6"/>
        <v>1</v>
      </c>
      <c r="BN9" s="74">
        <f t="shared" si="6"/>
        <v>1</v>
      </c>
      <c r="BO9" s="74">
        <f t="shared" si="6"/>
        <v>0</v>
      </c>
      <c r="BP9" s="74">
        <f t="shared" si="6"/>
        <v>0</v>
      </c>
      <c r="BQ9" s="74">
        <f t="shared" si="6"/>
        <v>0</v>
      </c>
      <c r="BR9" s="74">
        <f t="shared" si="6"/>
        <v>0</v>
      </c>
      <c r="BS9" s="74">
        <f t="shared" si="6"/>
        <v>0</v>
      </c>
      <c r="BT9" s="74">
        <f t="shared" si="6"/>
        <v>0</v>
      </c>
      <c r="BU9" s="74">
        <f>SUM(tblSOW8[[#This Row],[P1]:[P12]])</f>
        <v>3</v>
      </c>
      <c r="BV9" s="74">
        <f>IFERROR(VLOOKUP(H9,[30]Parameters!CK:CN,3,0),0)</f>
        <v>0</v>
      </c>
      <c r="BW9" s="74">
        <f>IFERROR(VLOOKUP(K9,[30]Parameters!BN:BW,10,0),0)</f>
        <v>827.44320670591105</v>
      </c>
      <c r="BX9" s="74">
        <f>SUM(tblSOW8[[#This Row],[Jan 2023 USD]:[Mar 2023 USD]])</f>
        <v>0</v>
      </c>
      <c r="BY9" s="74">
        <f>SUM(tblSOW8[[#This Row],[Apr 2023 USD]:[Jun 2023 USD]])</f>
        <v>0</v>
      </c>
      <c r="BZ9" s="74">
        <f>SUM(tblSOW8[[#This Row],[Jul 2023 USD]:[Sep 2023 USD]])</f>
        <v>0</v>
      </c>
      <c r="CA9" s="74">
        <f>SUM(tblSOW8[[#This Row],[Oct 2023 USD]:[Dec 2023 USD]])</f>
        <v>0</v>
      </c>
    </row>
    <row r="10" spans="1:154" s="75" customFormat="1" ht="13.5" customHeight="1">
      <c r="A10" s="67" t="str">
        <f>CONCATENATE(INDEX([30]Parameters!$U$1:$V$20,MATCH(C10,[30]Parameters!$V$1:$V$20,0),1),"/",VLOOKUP(D10,[30]Parameters!$CG$1:$CH$12,2,0),".",E10,".",H10,".",LEFT(J10,3),"-",LEFT(K10,4))</f>
        <v>B20/20.P82.427.950-T109</v>
      </c>
      <c r="B10" s="67" t="s">
        <v>160</v>
      </c>
      <c r="C10" s="67" t="s">
        <v>158</v>
      </c>
      <c r="D10" s="111" t="s">
        <v>95</v>
      </c>
      <c r="E10" s="111" t="str">
        <f>VLOOKUP(F10,[30]Parameters!P:T,4,0)</f>
        <v>P82</v>
      </c>
      <c r="F10" s="111" t="s">
        <v>162</v>
      </c>
      <c r="G10" s="67"/>
      <c r="H10" s="44">
        <f>INDEX([30]Parameters!$B:$C,MATCH(I10,[30]Parameters!$C:$C,0),1)</f>
        <v>427</v>
      </c>
      <c r="I10" s="68" t="s">
        <v>104</v>
      </c>
      <c r="J10" s="68" t="s">
        <v>94</v>
      </c>
      <c r="K10" s="68" t="s">
        <v>105</v>
      </c>
      <c r="L10" s="68"/>
      <c r="M10" s="69"/>
      <c r="N10" s="119"/>
      <c r="O10" s="119"/>
      <c r="P10" s="72">
        <v>45017</v>
      </c>
      <c r="Q10" s="72">
        <v>45107</v>
      </c>
      <c r="R10" s="67"/>
      <c r="S10" s="67">
        <f t="shared" si="7"/>
        <v>3</v>
      </c>
      <c r="T10" s="68"/>
      <c r="U10" s="68">
        <v>1</v>
      </c>
      <c r="V10" s="68"/>
      <c r="W10" s="68" t="str">
        <f>IF(AND(ISNUMBER(SEARCH("-T",tblSOW8[[#This Row],[Budget Item]])),NOT(ISNUMBER(tblSOW8[[#This Row],[Task Units]]))),"Please Enter Task Units",
IF(AND(ISNUMBER(SEARCH("-E000",tblSOW8[[#This Row],[Budget Item]])),NOT(ISNUMBER(tblSOW8[[#This Row],[% work on project]]))),"Please Enter Organic FTE",
IF(AND(ISNUMBER(SEARCH("-E999",tblSOW8[[#This Row],[Budget Item]])),NOT(ISNUMBER(tblSOW8[[#This Row],[External Expenses/Revenues USD]]))),"Please Enter External Expenses",
"")))</f>
        <v/>
      </c>
      <c r="X10" s="67">
        <f>SUM(tblSOW8[[#This Row],[Jan 2023 USD]:[Dec 2023 USD]])</f>
        <v>827.44320670591094</v>
      </c>
      <c r="Y10" s="74">
        <f>tblSOW8[[#This Row],[FTE Cost]]*tblSOW8[[#This Row],[% work on project]]*AK10/12+tblSOW8[[#This Row],[Task Cost]]*AW10+tblSOW8[[#This Row],[External Expenses/Revenues USD]]*BI10/tblSOW8[[#This Row],[Duration]]</f>
        <v>0</v>
      </c>
      <c r="Z10" s="74">
        <f>tblSOW8[[#This Row],[FTE Cost]]*tblSOW8[[#This Row],[% work on project]]*AL10/12+tblSOW8[[#This Row],[Task Cost]]*AX10+tblSOW8[[#This Row],[External Expenses/Revenues USD]]*BJ10/tblSOW8[[#This Row],[Duration]]</f>
        <v>0</v>
      </c>
      <c r="AA10" s="74">
        <f>tblSOW8[[#This Row],[FTE Cost]]*tblSOW8[[#This Row],[% work on project]]*AM10/12+tblSOW8[[#This Row],[Task Cost]]*AY10+tblSOW8[[#This Row],[External Expenses/Revenues USD]]*BK10/tblSOW8[[#This Row],[Duration]]</f>
        <v>0</v>
      </c>
      <c r="AB10" s="74">
        <f>tblSOW8[[#This Row],[FTE Cost]]*tblSOW8[[#This Row],[% work on project]]*AN10/12+tblSOW8[[#This Row],[Task Cost]]*AZ10+tblSOW8[[#This Row],[External Expenses/Revenues USD]]*BL10/tblSOW8[[#This Row],[Duration]]</f>
        <v>275.81440223530365</v>
      </c>
      <c r="AC10" s="74">
        <f>tblSOW8[[#This Row],[FTE Cost]]*tblSOW8[[#This Row],[% work on project]]*AO10/12+tblSOW8[[#This Row],[Task Cost]]*BA10+tblSOW8[[#This Row],[External Expenses/Revenues USD]]*BM10/tblSOW8[[#This Row],[Duration]]</f>
        <v>275.81440223530365</v>
      </c>
      <c r="AD10" s="74">
        <f>tblSOW8[[#This Row],[FTE Cost]]*tblSOW8[[#This Row],[% work on project]]*AP10/12+tblSOW8[[#This Row],[Task Cost]]*BB10+tblSOW8[[#This Row],[External Expenses/Revenues USD]]*BN10/tblSOW8[[#This Row],[Duration]]</f>
        <v>275.81440223530365</v>
      </c>
      <c r="AE10" s="74">
        <f>tblSOW8[[#This Row],[FTE Cost]]*tblSOW8[[#This Row],[% work on project]]*AQ10/12+tblSOW8[[#This Row],[Task Cost]]*BC10+tblSOW8[[#This Row],[External Expenses/Revenues USD]]*BO10/tblSOW8[[#This Row],[Duration]]</f>
        <v>0</v>
      </c>
      <c r="AF10" s="74">
        <f>tblSOW8[[#This Row],[FTE Cost]]*tblSOW8[[#This Row],[% work on project]]*AR10/12+tblSOW8[[#This Row],[Task Cost]]*BD10+tblSOW8[[#This Row],[External Expenses/Revenues USD]]*BP10/tblSOW8[[#This Row],[Duration]]</f>
        <v>0</v>
      </c>
      <c r="AG10" s="74">
        <f>tblSOW8[[#This Row],[FTE Cost]]*tblSOW8[[#This Row],[% work on project]]*AS10/12+tblSOW8[[#This Row],[Task Cost]]*BE10+tblSOW8[[#This Row],[External Expenses/Revenues USD]]*BQ10/tblSOW8[[#This Row],[Duration]]</f>
        <v>0</v>
      </c>
      <c r="AH10" s="74">
        <f>tblSOW8[[#This Row],[FTE Cost]]*tblSOW8[[#This Row],[% work on project]]*AT10/12+tblSOW8[[#This Row],[Task Cost]]*BF10+tblSOW8[[#This Row],[External Expenses/Revenues USD]]*BR10/tblSOW8[[#This Row],[Duration]]</f>
        <v>0</v>
      </c>
      <c r="AI10" s="74">
        <f>tblSOW8[[#This Row],[FTE Cost]]*tblSOW8[[#This Row],[% work on project]]*AU10/12+tblSOW8[[#This Row],[Task Cost]]*BG10+tblSOW8[[#This Row],[External Expenses/Revenues USD]]*BS10/tblSOW8[[#This Row],[Duration]]</f>
        <v>0</v>
      </c>
      <c r="AJ10" s="74">
        <f>tblSOW8[[#This Row],[FTE Cost]]*tblSOW8[[#This Row],[% work on project]]*AV10/12+tblSOW8[[#This Row],[Task Cost]]*BH10+tblSOW8[[#This Row],[External Expenses/Revenues USD]]*BT10/tblSOW8[[#This Row],[Duration]]</f>
        <v>0</v>
      </c>
      <c r="AK10" s="74">
        <f t="shared" si="1"/>
        <v>0</v>
      </c>
      <c r="AL10" s="74">
        <f t="shared" si="1"/>
        <v>0</v>
      </c>
      <c r="AM10" s="74">
        <f t="shared" si="1"/>
        <v>0</v>
      </c>
      <c r="AN10" s="74">
        <f t="shared" si="1"/>
        <v>1</v>
      </c>
      <c r="AO10" s="74">
        <f t="shared" si="1"/>
        <v>1</v>
      </c>
      <c r="AP10" s="74">
        <f t="shared" si="1"/>
        <v>1</v>
      </c>
      <c r="AQ10" s="74">
        <f t="shared" si="2"/>
        <v>0</v>
      </c>
      <c r="AR10" s="74">
        <f t="shared" si="2"/>
        <v>0</v>
      </c>
      <c r="AS10" s="74">
        <f t="shared" si="2"/>
        <v>0</v>
      </c>
      <c r="AT10" s="74">
        <f t="shared" si="2"/>
        <v>0</v>
      </c>
      <c r="AU10" s="74">
        <f t="shared" si="2"/>
        <v>0</v>
      </c>
      <c r="AV10" s="74">
        <f t="shared" si="2"/>
        <v>0</v>
      </c>
      <c r="AW10" s="74">
        <f t="shared" si="3"/>
        <v>0</v>
      </c>
      <c r="AX10" s="74">
        <f t="shared" si="3"/>
        <v>0</v>
      </c>
      <c r="AY10" s="74">
        <f t="shared" si="3"/>
        <v>0</v>
      </c>
      <c r="AZ10" s="74">
        <f t="shared" si="3"/>
        <v>0.33333333333333331</v>
      </c>
      <c r="BA10" s="74">
        <f t="shared" si="3"/>
        <v>0.33333333333333331</v>
      </c>
      <c r="BB10" s="74">
        <f t="shared" si="3"/>
        <v>0.33333333333333331</v>
      </c>
      <c r="BC10" s="74">
        <f t="shared" si="4"/>
        <v>0</v>
      </c>
      <c r="BD10" s="74">
        <f t="shared" si="4"/>
        <v>0</v>
      </c>
      <c r="BE10" s="74">
        <f t="shared" si="4"/>
        <v>0</v>
      </c>
      <c r="BF10" s="74">
        <f t="shared" si="4"/>
        <v>0</v>
      </c>
      <c r="BG10" s="74">
        <f t="shared" si="4"/>
        <v>0</v>
      </c>
      <c r="BH10" s="74">
        <f t="shared" si="4"/>
        <v>0</v>
      </c>
      <c r="BI10" s="74">
        <f t="shared" si="6"/>
        <v>0</v>
      </c>
      <c r="BJ10" s="74">
        <f t="shared" si="6"/>
        <v>0</v>
      </c>
      <c r="BK10" s="74">
        <f t="shared" si="6"/>
        <v>0</v>
      </c>
      <c r="BL10" s="74">
        <f t="shared" si="6"/>
        <v>1</v>
      </c>
      <c r="BM10" s="74">
        <f t="shared" si="6"/>
        <v>1</v>
      </c>
      <c r="BN10" s="74">
        <f t="shared" si="6"/>
        <v>1</v>
      </c>
      <c r="BO10" s="74">
        <f t="shared" si="6"/>
        <v>0</v>
      </c>
      <c r="BP10" s="74">
        <f t="shared" si="6"/>
        <v>0</v>
      </c>
      <c r="BQ10" s="74">
        <f t="shared" si="6"/>
        <v>0</v>
      </c>
      <c r="BR10" s="74">
        <f t="shared" si="6"/>
        <v>0</v>
      </c>
      <c r="BS10" s="74">
        <f t="shared" si="6"/>
        <v>0</v>
      </c>
      <c r="BT10" s="74">
        <f t="shared" si="6"/>
        <v>0</v>
      </c>
      <c r="BU10" s="74">
        <f>SUM(tblSOW8[[#This Row],[P1]:[P12]])</f>
        <v>3</v>
      </c>
      <c r="BV10" s="74">
        <f>IFERROR(VLOOKUP(H10,[30]Parameters!CK:CN,3,0),0)</f>
        <v>0</v>
      </c>
      <c r="BW10" s="74">
        <f>IFERROR(VLOOKUP(K10,[30]Parameters!BN:BW,10,0),0)</f>
        <v>827.44320670591105</v>
      </c>
      <c r="BX10" s="74">
        <f>SUM(tblSOW8[[#This Row],[Jan 2023 USD]:[Mar 2023 USD]])</f>
        <v>0</v>
      </c>
      <c r="BY10" s="74">
        <f>SUM(tblSOW8[[#This Row],[Apr 2023 USD]:[Jun 2023 USD]])</f>
        <v>827.44320670591094</v>
      </c>
      <c r="BZ10" s="74">
        <f>SUM(tblSOW8[[#This Row],[Jul 2023 USD]:[Sep 2023 USD]])</f>
        <v>0</v>
      </c>
      <c r="CA10" s="74">
        <f>SUM(tblSOW8[[#This Row],[Oct 2023 USD]:[Dec 2023 USD]])</f>
        <v>0</v>
      </c>
    </row>
    <row r="11" spans="1:154" s="75" customFormat="1" ht="13.5" customHeight="1">
      <c r="A11" s="67" t="str">
        <f>CONCATENATE(INDEX([30]Parameters!$U$1:$V$20,MATCH(C11,[30]Parameters!$V$1:$V$20,0),1),"/",VLOOKUP(D11,[30]Parameters!$CG$1:$CH$12,2,0),".",E11,".",H11,".",LEFT(J11,3),"-",LEFT(K11,4))</f>
        <v>B20/20.P19.427.950-T109</v>
      </c>
      <c r="B11" s="67" t="s">
        <v>160</v>
      </c>
      <c r="C11" s="67" t="s">
        <v>158</v>
      </c>
      <c r="D11" s="111" t="s">
        <v>95</v>
      </c>
      <c r="E11" s="111" t="str">
        <f>VLOOKUP(F11,[30]Parameters!P:T,4,0)</f>
        <v>P19</v>
      </c>
      <c r="F11" s="111" t="s">
        <v>159</v>
      </c>
      <c r="G11" s="67"/>
      <c r="H11" s="44">
        <f>INDEX([30]Parameters!$B:$C,MATCH(I11,[30]Parameters!$C:$C,0),1)</f>
        <v>427</v>
      </c>
      <c r="I11" s="68" t="s">
        <v>104</v>
      </c>
      <c r="J11" s="68" t="s">
        <v>94</v>
      </c>
      <c r="K11" s="68" t="s">
        <v>105</v>
      </c>
      <c r="L11" s="68"/>
      <c r="M11" s="69"/>
      <c r="N11" s="119"/>
      <c r="O11" s="119"/>
      <c r="P11" s="72">
        <v>45017</v>
      </c>
      <c r="Q11" s="72">
        <v>45107</v>
      </c>
      <c r="R11" s="67"/>
      <c r="S11" s="67">
        <f t="shared" si="7"/>
        <v>3</v>
      </c>
      <c r="T11" s="68"/>
      <c r="U11" s="68">
        <v>0</v>
      </c>
      <c r="V11" s="68"/>
      <c r="W11" s="68" t="str">
        <f>IF(AND(ISNUMBER(SEARCH("-T",tblSOW8[[#This Row],[Budget Item]])),NOT(ISNUMBER(tblSOW8[[#This Row],[Task Units]]))),"Please Enter Task Units",
IF(AND(ISNUMBER(SEARCH("-E000",tblSOW8[[#This Row],[Budget Item]])),NOT(ISNUMBER(tblSOW8[[#This Row],[% work on project]]))),"Please Enter Organic FTE",
IF(AND(ISNUMBER(SEARCH("-E999",tblSOW8[[#This Row],[Budget Item]])),NOT(ISNUMBER(tblSOW8[[#This Row],[External Expenses/Revenues USD]]))),"Please Enter External Expenses",
"")))</f>
        <v/>
      </c>
      <c r="X11" s="67">
        <f>SUM(tblSOW8[[#This Row],[Jan 2023 USD]:[Dec 2023 USD]])</f>
        <v>0</v>
      </c>
      <c r="Y11" s="74">
        <f>tblSOW8[[#This Row],[FTE Cost]]*tblSOW8[[#This Row],[% work on project]]*AK11/12+tblSOW8[[#This Row],[Task Cost]]*AW11+tblSOW8[[#This Row],[External Expenses/Revenues USD]]*BI11/tblSOW8[[#This Row],[Duration]]</f>
        <v>0</v>
      </c>
      <c r="Z11" s="74">
        <f>tblSOW8[[#This Row],[FTE Cost]]*tblSOW8[[#This Row],[% work on project]]*AL11/12+tblSOW8[[#This Row],[Task Cost]]*AX11+tblSOW8[[#This Row],[External Expenses/Revenues USD]]*BJ11/tblSOW8[[#This Row],[Duration]]</f>
        <v>0</v>
      </c>
      <c r="AA11" s="74">
        <f>tblSOW8[[#This Row],[FTE Cost]]*tblSOW8[[#This Row],[% work on project]]*AM11/12+tblSOW8[[#This Row],[Task Cost]]*AY11+tblSOW8[[#This Row],[External Expenses/Revenues USD]]*BK11/tblSOW8[[#This Row],[Duration]]</f>
        <v>0</v>
      </c>
      <c r="AB11" s="74">
        <f>tblSOW8[[#This Row],[FTE Cost]]*tblSOW8[[#This Row],[% work on project]]*AN11/12+tblSOW8[[#This Row],[Task Cost]]*AZ11+tblSOW8[[#This Row],[External Expenses/Revenues USD]]*BL11/tblSOW8[[#This Row],[Duration]]</f>
        <v>0</v>
      </c>
      <c r="AC11" s="74">
        <f>tblSOW8[[#This Row],[FTE Cost]]*tblSOW8[[#This Row],[% work on project]]*AO11/12+tblSOW8[[#This Row],[Task Cost]]*BA11+tblSOW8[[#This Row],[External Expenses/Revenues USD]]*BM11/tblSOW8[[#This Row],[Duration]]</f>
        <v>0</v>
      </c>
      <c r="AD11" s="74">
        <f>tblSOW8[[#This Row],[FTE Cost]]*tblSOW8[[#This Row],[% work on project]]*AP11/12+tblSOW8[[#This Row],[Task Cost]]*BB11+tblSOW8[[#This Row],[External Expenses/Revenues USD]]*BN11/tblSOW8[[#This Row],[Duration]]</f>
        <v>0</v>
      </c>
      <c r="AE11" s="74">
        <f>tblSOW8[[#This Row],[FTE Cost]]*tblSOW8[[#This Row],[% work on project]]*AQ11/12+tblSOW8[[#This Row],[Task Cost]]*BC11+tblSOW8[[#This Row],[External Expenses/Revenues USD]]*BO11/tblSOW8[[#This Row],[Duration]]</f>
        <v>0</v>
      </c>
      <c r="AF11" s="74">
        <f>tblSOW8[[#This Row],[FTE Cost]]*tblSOW8[[#This Row],[% work on project]]*AR11/12+tblSOW8[[#This Row],[Task Cost]]*BD11+tblSOW8[[#This Row],[External Expenses/Revenues USD]]*BP11/tblSOW8[[#This Row],[Duration]]</f>
        <v>0</v>
      </c>
      <c r="AG11" s="74">
        <f>tblSOW8[[#This Row],[FTE Cost]]*tblSOW8[[#This Row],[% work on project]]*AS11/12+tblSOW8[[#This Row],[Task Cost]]*BE11+tblSOW8[[#This Row],[External Expenses/Revenues USD]]*BQ11/tblSOW8[[#This Row],[Duration]]</f>
        <v>0</v>
      </c>
      <c r="AH11" s="74">
        <f>tblSOW8[[#This Row],[FTE Cost]]*tblSOW8[[#This Row],[% work on project]]*AT11/12+tblSOW8[[#This Row],[Task Cost]]*BF11+tblSOW8[[#This Row],[External Expenses/Revenues USD]]*BR11/tblSOW8[[#This Row],[Duration]]</f>
        <v>0</v>
      </c>
      <c r="AI11" s="74">
        <f>tblSOW8[[#This Row],[FTE Cost]]*tblSOW8[[#This Row],[% work on project]]*AU11/12+tblSOW8[[#This Row],[Task Cost]]*BG11+tblSOW8[[#This Row],[External Expenses/Revenues USD]]*BS11/tblSOW8[[#This Row],[Duration]]</f>
        <v>0</v>
      </c>
      <c r="AJ11" s="74">
        <f>tblSOW8[[#This Row],[FTE Cost]]*tblSOW8[[#This Row],[% work on project]]*AV11/12+tblSOW8[[#This Row],[Task Cost]]*BH11+tblSOW8[[#This Row],[External Expenses/Revenues USD]]*BT11/tblSOW8[[#This Row],[Duration]]</f>
        <v>0</v>
      </c>
      <c r="AK11" s="74">
        <f t="shared" si="1"/>
        <v>0</v>
      </c>
      <c r="AL11" s="74">
        <f t="shared" si="1"/>
        <v>0</v>
      </c>
      <c r="AM11" s="74">
        <f t="shared" si="1"/>
        <v>0</v>
      </c>
      <c r="AN11" s="74">
        <f t="shared" si="1"/>
        <v>1</v>
      </c>
      <c r="AO11" s="74">
        <f t="shared" si="1"/>
        <v>1</v>
      </c>
      <c r="AP11" s="74">
        <f t="shared" si="1"/>
        <v>1</v>
      </c>
      <c r="AQ11" s="74">
        <f t="shared" si="2"/>
        <v>0</v>
      </c>
      <c r="AR11" s="74">
        <f t="shared" si="2"/>
        <v>0</v>
      </c>
      <c r="AS11" s="74">
        <f t="shared" si="2"/>
        <v>0</v>
      </c>
      <c r="AT11" s="74">
        <f t="shared" si="2"/>
        <v>0</v>
      </c>
      <c r="AU11" s="74">
        <f t="shared" si="2"/>
        <v>0</v>
      </c>
      <c r="AV11" s="74">
        <f t="shared" si="2"/>
        <v>0</v>
      </c>
      <c r="AW11" s="74">
        <f t="shared" si="3"/>
        <v>0</v>
      </c>
      <c r="AX11" s="74">
        <f t="shared" si="3"/>
        <v>0</v>
      </c>
      <c r="AY11" s="74">
        <f t="shared" si="3"/>
        <v>0</v>
      </c>
      <c r="AZ11" s="74">
        <f t="shared" si="3"/>
        <v>0</v>
      </c>
      <c r="BA11" s="74">
        <f t="shared" si="3"/>
        <v>0</v>
      </c>
      <c r="BB11" s="74">
        <f t="shared" si="3"/>
        <v>0</v>
      </c>
      <c r="BC11" s="74">
        <f t="shared" si="4"/>
        <v>0</v>
      </c>
      <c r="BD11" s="74">
        <f t="shared" si="4"/>
        <v>0</v>
      </c>
      <c r="BE11" s="74">
        <f t="shared" si="4"/>
        <v>0</v>
      </c>
      <c r="BF11" s="74">
        <f t="shared" si="4"/>
        <v>0</v>
      </c>
      <c r="BG11" s="74">
        <f t="shared" si="4"/>
        <v>0</v>
      </c>
      <c r="BH11" s="74">
        <f t="shared" si="4"/>
        <v>0</v>
      </c>
      <c r="BI11" s="74">
        <f t="shared" si="6"/>
        <v>0</v>
      </c>
      <c r="BJ11" s="74">
        <f t="shared" si="6"/>
        <v>0</v>
      </c>
      <c r="BK11" s="74">
        <f t="shared" si="6"/>
        <v>0</v>
      </c>
      <c r="BL11" s="74">
        <f t="shared" si="6"/>
        <v>1</v>
      </c>
      <c r="BM11" s="74">
        <f t="shared" si="6"/>
        <v>1</v>
      </c>
      <c r="BN11" s="74">
        <f t="shared" si="6"/>
        <v>1</v>
      </c>
      <c r="BO11" s="74">
        <f t="shared" si="6"/>
        <v>0</v>
      </c>
      <c r="BP11" s="74">
        <f t="shared" si="6"/>
        <v>0</v>
      </c>
      <c r="BQ11" s="74">
        <f t="shared" si="6"/>
        <v>0</v>
      </c>
      <c r="BR11" s="74">
        <f t="shared" si="6"/>
        <v>0</v>
      </c>
      <c r="BS11" s="74">
        <f t="shared" si="6"/>
        <v>0</v>
      </c>
      <c r="BT11" s="74">
        <f t="shared" si="6"/>
        <v>0</v>
      </c>
      <c r="BU11" s="74">
        <f>SUM(tblSOW8[[#This Row],[P1]:[P12]])</f>
        <v>3</v>
      </c>
      <c r="BV11" s="74">
        <f>IFERROR(VLOOKUP(H11,[30]Parameters!CK:CN,3,0),0)</f>
        <v>0</v>
      </c>
      <c r="BW11" s="74">
        <f>IFERROR(VLOOKUP(K11,[30]Parameters!BN:BW,10,0),0)</f>
        <v>827.44320670591105</v>
      </c>
      <c r="BX11" s="74">
        <f>SUM(tblSOW8[[#This Row],[Jan 2023 USD]:[Mar 2023 USD]])</f>
        <v>0</v>
      </c>
      <c r="BY11" s="74">
        <f>SUM(tblSOW8[[#This Row],[Apr 2023 USD]:[Jun 2023 USD]])</f>
        <v>0</v>
      </c>
      <c r="BZ11" s="74">
        <f>SUM(tblSOW8[[#This Row],[Jul 2023 USD]:[Sep 2023 USD]])</f>
        <v>0</v>
      </c>
      <c r="CA11" s="74">
        <f>SUM(tblSOW8[[#This Row],[Oct 2023 USD]:[Dec 2023 USD]])</f>
        <v>0</v>
      </c>
    </row>
    <row r="12" spans="1:154" s="75" customFormat="1" ht="13.5" customHeight="1">
      <c r="A12" s="67" t="str">
        <f>CONCATENATE(INDEX([30]Parameters!$U$1:$V$20,MATCH(C12,[30]Parameters!$V$1:$V$20,0),1),"/",VLOOKUP(D12,[30]Parameters!$CG$1:$CH$12,2,0),".",E12,".",H12,".",LEFT(J12,3),"-",LEFT(K12,4))</f>
        <v>B20/20.P192.427.950-T109</v>
      </c>
      <c r="B12" s="67" t="s">
        <v>160</v>
      </c>
      <c r="C12" s="67" t="s">
        <v>158</v>
      </c>
      <c r="D12" s="111" t="s">
        <v>95</v>
      </c>
      <c r="E12" s="111" t="str">
        <f>VLOOKUP(F12,[30]Parameters!P:T,4,0)</f>
        <v>P192</v>
      </c>
      <c r="F12" s="111" t="s">
        <v>163</v>
      </c>
      <c r="G12" s="67"/>
      <c r="H12" s="44">
        <f>INDEX([30]Parameters!$B:$C,MATCH(I12,[30]Parameters!$C:$C,0),1)</f>
        <v>427</v>
      </c>
      <c r="I12" s="68" t="s">
        <v>104</v>
      </c>
      <c r="J12" s="68" t="s">
        <v>94</v>
      </c>
      <c r="K12" s="68" t="s">
        <v>105</v>
      </c>
      <c r="L12" s="68"/>
      <c r="M12" s="69"/>
      <c r="N12" s="119"/>
      <c r="O12" s="119"/>
      <c r="P12" s="72">
        <v>45108</v>
      </c>
      <c r="Q12" s="72">
        <v>45199</v>
      </c>
      <c r="R12" s="67"/>
      <c r="S12" s="67">
        <f t="shared" si="7"/>
        <v>3</v>
      </c>
      <c r="T12" s="68"/>
      <c r="U12" s="68">
        <v>3</v>
      </c>
      <c r="V12" s="68"/>
      <c r="W12" s="68" t="str">
        <f>IF(AND(ISNUMBER(SEARCH("-T",tblSOW8[[#This Row],[Budget Item]])),NOT(ISNUMBER(tblSOW8[[#This Row],[Task Units]]))),"Please Enter Task Units",
IF(AND(ISNUMBER(SEARCH("-E000",tblSOW8[[#This Row],[Budget Item]])),NOT(ISNUMBER(tblSOW8[[#This Row],[% work on project]]))),"Please Enter Organic FTE",
IF(AND(ISNUMBER(SEARCH("-E999",tblSOW8[[#This Row],[Budget Item]])),NOT(ISNUMBER(tblSOW8[[#This Row],[External Expenses/Revenues USD]]))),"Please Enter External Expenses",
"")))</f>
        <v/>
      </c>
      <c r="X12" s="67">
        <f>SUM(tblSOW8[[#This Row],[Jan 2023 USD]:[Dec 2023 USD]])</f>
        <v>2482.3296201177332</v>
      </c>
      <c r="Y12" s="74">
        <f>tblSOW8[[#This Row],[FTE Cost]]*tblSOW8[[#This Row],[% work on project]]*AK12/12+tblSOW8[[#This Row],[Task Cost]]*AW12+tblSOW8[[#This Row],[External Expenses/Revenues USD]]*BI12/tblSOW8[[#This Row],[Duration]]</f>
        <v>0</v>
      </c>
      <c r="Z12" s="74">
        <f>tblSOW8[[#This Row],[FTE Cost]]*tblSOW8[[#This Row],[% work on project]]*AL12/12+tblSOW8[[#This Row],[Task Cost]]*AX12+tblSOW8[[#This Row],[External Expenses/Revenues USD]]*BJ12/tblSOW8[[#This Row],[Duration]]</f>
        <v>0</v>
      </c>
      <c r="AA12" s="74">
        <f>tblSOW8[[#This Row],[FTE Cost]]*tblSOW8[[#This Row],[% work on project]]*AM12/12+tblSOW8[[#This Row],[Task Cost]]*AY12+tblSOW8[[#This Row],[External Expenses/Revenues USD]]*BK12/tblSOW8[[#This Row],[Duration]]</f>
        <v>0</v>
      </c>
      <c r="AB12" s="74">
        <f>tblSOW8[[#This Row],[FTE Cost]]*tblSOW8[[#This Row],[% work on project]]*AN12/12+tblSOW8[[#This Row],[Task Cost]]*AZ12+tblSOW8[[#This Row],[External Expenses/Revenues USD]]*BL12/tblSOW8[[#This Row],[Duration]]</f>
        <v>0</v>
      </c>
      <c r="AC12" s="74">
        <f>tblSOW8[[#This Row],[FTE Cost]]*tblSOW8[[#This Row],[% work on project]]*AO12/12+tblSOW8[[#This Row],[Task Cost]]*BA12+tblSOW8[[#This Row],[External Expenses/Revenues USD]]*BM12/tblSOW8[[#This Row],[Duration]]</f>
        <v>0</v>
      </c>
      <c r="AD12" s="74">
        <f>tblSOW8[[#This Row],[FTE Cost]]*tblSOW8[[#This Row],[% work on project]]*AP12/12+tblSOW8[[#This Row],[Task Cost]]*BB12+tblSOW8[[#This Row],[External Expenses/Revenues USD]]*BN12/tblSOW8[[#This Row],[Duration]]</f>
        <v>0</v>
      </c>
      <c r="AE12" s="74">
        <f>tblSOW8[[#This Row],[FTE Cost]]*tblSOW8[[#This Row],[% work on project]]*AQ12/12+tblSOW8[[#This Row],[Task Cost]]*BC12+tblSOW8[[#This Row],[External Expenses/Revenues USD]]*BO12/tblSOW8[[#This Row],[Duration]]</f>
        <v>827.44320670591105</v>
      </c>
      <c r="AF12" s="74">
        <f>tblSOW8[[#This Row],[FTE Cost]]*tblSOW8[[#This Row],[% work on project]]*AR12/12+tblSOW8[[#This Row],[Task Cost]]*BD12+tblSOW8[[#This Row],[External Expenses/Revenues USD]]*BP12/tblSOW8[[#This Row],[Duration]]</f>
        <v>827.44320670591105</v>
      </c>
      <c r="AG12" s="74">
        <f>tblSOW8[[#This Row],[FTE Cost]]*tblSOW8[[#This Row],[% work on project]]*AS12/12+tblSOW8[[#This Row],[Task Cost]]*BE12+tblSOW8[[#This Row],[External Expenses/Revenues USD]]*BQ12/tblSOW8[[#This Row],[Duration]]</f>
        <v>827.44320670591105</v>
      </c>
      <c r="AH12" s="74">
        <f>tblSOW8[[#This Row],[FTE Cost]]*tblSOW8[[#This Row],[% work on project]]*AT12/12+tblSOW8[[#This Row],[Task Cost]]*BF12+tblSOW8[[#This Row],[External Expenses/Revenues USD]]*BR12/tblSOW8[[#This Row],[Duration]]</f>
        <v>0</v>
      </c>
      <c r="AI12" s="74">
        <f>tblSOW8[[#This Row],[FTE Cost]]*tblSOW8[[#This Row],[% work on project]]*AU12/12+tblSOW8[[#This Row],[Task Cost]]*BG12+tblSOW8[[#This Row],[External Expenses/Revenues USD]]*BS12/tblSOW8[[#This Row],[Duration]]</f>
        <v>0</v>
      </c>
      <c r="AJ12" s="74">
        <f>tblSOW8[[#This Row],[FTE Cost]]*tblSOW8[[#This Row],[% work on project]]*AV12/12+tblSOW8[[#This Row],[Task Cost]]*BH12+tblSOW8[[#This Row],[External Expenses/Revenues USD]]*BT12/tblSOW8[[#This Row],[Duration]]</f>
        <v>0</v>
      </c>
      <c r="AK12" s="74">
        <f t="shared" si="1"/>
        <v>0</v>
      </c>
      <c r="AL12" s="74">
        <f t="shared" si="1"/>
        <v>0</v>
      </c>
      <c r="AM12" s="74">
        <f t="shared" si="1"/>
        <v>0</v>
      </c>
      <c r="AN12" s="74">
        <f t="shared" si="1"/>
        <v>0</v>
      </c>
      <c r="AO12" s="74">
        <f t="shared" si="1"/>
        <v>0</v>
      </c>
      <c r="AP12" s="74">
        <f t="shared" si="1"/>
        <v>0</v>
      </c>
      <c r="AQ12" s="74">
        <f t="shared" si="2"/>
        <v>1</v>
      </c>
      <c r="AR12" s="74">
        <f t="shared" si="2"/>
        <v>1</v>
      </c>
      <c r="AS12" s="74">
        <f t="shared" si="2"/>
        <v>1</v>
      </c>
      <c r="AT12" s="74">
        <f t="shared" ref="AT12:AV35" si="8">$S12/$BU12*BR12</f>
        <v>0</v>
      </c>
      <c r="AU12" s="74">
        <f t="shared" si="8"/>
        <v>0</v>
      </c>
      <c r="AV12" s="74">
        <f t="shared" si="8"/>
        <v>0</v>
      </c>
      <c r="AW12" s="74">
        <f t="shared" si="3"/>
        <v>0</v>
      </c>
      <c r="AX12" s="74">
        <f t="shared" si="3"/>
        <v>0</v>
      </c>
      <c r="AY12" s="74">
        <f t="shared" si="3"/>
        <v>0</v>
      </c>
      <c r="AZ12" s="74">
        <f t="shared" si="3"/>
        <v>0</v>
      </c>
      <c r="BA12" s="74">
        <f t="shared" si="3"/>
        <v>0</v>
      </c>
      <c r="BB12" s="74">
        <f t="shared" si="3"/>
        <v>0</v>
      </c>
      <c r="BC12" s="74">
        <f t="shared" si="4"/>
        <v>1</v>
      </c>
      <c r="BD12" s="74">
        <f t="shared" si="4"/>
        <v>1</v>
      </c>
      <c r="BE12" s="74">
        <f t="shared" si="4"/>
        <v>1</v>
      </c>
      <c r="BF12" s="74">
        <f t="shared" ref="BF12:BH35" si="9">$U12/$BU12*BR12</f>
        <v>0</v>
      </c>
      <c r="BG12" s="74">
        <f t="shared" si="9"/>
        <v>0</v>
      </c>
      <c r="BH12" s="74">
        <f t="shared" si="9"/>
        <v>0</v>
      </c>
      <c r="BI12" s="74">
        <f t="shared" si="6"/>
        <v>0</v>
      </c>
      <c r="BJ12" s="74">
        <f t="shared" si="6"/>
        <v>0</v>
      </c>
      <c r="BK12" s="74">
        <f t="shared" si="6"/>
        <v>0</v>
      </c>
      <c r="BL12" s="74">
        <f t="shared" si="6"/>
        <v>0</v>
      </c>
      <c r="BM12" s="74">
        <f t="shared" si="6"/>
        <v>0</v>
      </c>
      <c r="BN12" s="74">
        <f t="shared" si="6"/>
        <v>0</v>
      </c>
      <c r="BO12" s="74">
        <f t="shared" si="6"/>
        <v>1</v>
      </c>
      <c r="BP12" s="74">
        <f t="shared" si="6"/>
        <v>1</v>
      </c>
      <c r="BQ12" s="74">
        <f t="shared" si="6"/>
        <v>1</v>
      </c>
      <c r="BR12" s="74">
        <f t="shared" si="6"/>
        <v>0</v>
      </c>
      <c r="BS12" s="74">
        <f t="shared" si="6"/>
        <v>0</v>
      </c>
      <c r="BT12" s="74">
        <f t="shared" si="6"/>
        <v>0</v>
      </c>
      <c r="BU12" s="74">
        <f>SUM(tblSOW8[[#This Row],[P1]:[P12]])</f>
        <v>3</v>
      </c>
      <c r="BV12" s="74">
        <f>IFERROR(VLOOKUP(H12,[30]Parameters!CK:CN,3,0),0)</f>
        <v>0</v>
      </c>
      <c r="BW12" s="74">
        <f>IFERROR(VLOOKUP(K12,[30]Parameters!BN:BW,10,0),0)</f>
        <v>827.44320670591105</v>
      </c>
      <c r="BX12" s="74">
        <f>SUM(tblSOW8[[#This Row],[Jan 2023 USD]:[Mar 2023 USD]])</f>
        <v>0</v>
      </c>
      <c r="BY12" s="74">
        <f>SUM(tblSOW8[[#This Row],[Apr 2023 USD]:[Jun 2023 USD]])</f>
        <v>0</v>
      </c>
      <c r="BZ12" s="74">
        <f>SUM(tblSOW8[[#This Row],[Jul 2023 USD]:[Sep 2023 USD]])</f>
        <v>2482.3296201177332</v>
      </c>
      <c r="CA12" s="74">
        <f>SUM(tblSOW8[[#This Row],[Oct 2023 USD]:[Dec 2023 USD]])</f>
        <v>0</v>
      </c>
    </row>
    <row r="13" spans="1:154" s="75" customFormat="1" ht="13.5" customHeight="1">
      <c r="A13" s="67" t="str">
        <f>CONCATENATE(INDEX([30]Parameters!$U$1:$V$20,MATCH(C13,[30]Parameters!$V$1:$V$20,0),1),"/",VLOOKUP(D13,[30]Parameters!$CG$1:$CH$12,2,0),".",E13,".",H13,".",LEFT(J13,3),"-",LEFT(K13,4))</f>
        <v>B20/20.P145.427.950-T109</v>
      </c>
      <c r="B13" s="67" t="s">
        <v>160</v>
      </c>
      <c r="C13" s="67" t="s">
        <v>158</v>
      </c>
      <c r="D13" s="111" t="s">
        <v>95</v>
      </c>
      <c r="E13" s="111" t="str">
        <f>VLOOKUP(F13,[30]Parameters!P:T,4,0)</f>
        <v>P145</v>
      </c>
      <c r="F13" s="111" t="s">
        <v>161</v>
      </c>
      <c r="G13" s="67"/>
      <c r="H13" s="44">
        <f>INDEX([30]Parameters!$B:$C,MATCH(I13,[30]Parameters!$C:$C,0),1)</f>
        <v>427</v>
      </c>
      <c r="I13" s="68" t="s">
        <v>104</v>
      </c>
      <c r="J13" s="68" t="s">
        <v>94</v>
      </c>
      <c r="K13" s="68" t="s">
        <v>105</v>
      </c>
      <c r="L13" s="68"/>
      <c r="M13" s="69"/>
      <c r="N13" s="119"/>
      <c r="O13" s="119"/>
      <c r="P13" s="72">
        <v>45108</v>
      </c>
      <c r="Q13" s="72">
        <v>45199</v>
      </c>
      <c r="R13" s="67"/>
      <c r="S13" s="67">
        <f t="shared" si="7"/>
        <v>3</v>
      </c>
      <c r="T13" s="68"/>
      <c r="U13" s="68">
        <v>1.5</v>
      </c>
      <c r="V13" s="68"/>
      <c r="W13" s="68" t="str">
        <f>IF(AND(ISNUMBER(SEARCH("-T",tblSOW8[[#This Row],[Budget Item]])),NOT(ISNUMBER(tblSOW8[[#This Row],[Task Units]]))),"Please Enter Task Units",
IF(AND(ISNUMBER(SEARCH("-E000",tblSOW8[[#This Row],[Budget Item]])),NOT(ISNUMBER(tblSOW8[[#This Row],[% work on project]]))),"Please Enter Organic FTE",
IF(AND(ISNUMBER(SEARCH("-E999",tblSOW8[[#This Row],[Budget Item]])),NOT(ISNUMBER(tblSOW8[[#This Row],[External Expenses/Revenues USD]]))),"Please Enter External Expenses",
"")))</f>
        <v/>
      </c>
      <c r="X13" s="67">
        <f>SUM(tblSOW8[[#This Row],[Jan 2023 USD]:[Dec 2023 USD]])</f>
        <v>1241.1648100588666</v>
      </c>
      <c r="Y13" s="74">
        <f>tblSOW8[[#This Row],[FTE Cost]]*tblSOW8[[#This Row],[% work on project]]*AK13/12+tblSOW8[[#This Row],[Task Cost]]*AW13+tblSOW8[[#This Row],[External Expenses/Revenues USD]]*BI13/tblSOW8[[#This Row],[Duration]]</f>
        <v>0</v>
      </c>
      <c r="Z13" s="74">
        <f>tblSOW8[[#This Row],[FTE Cost]]*tblSOW8[[#This Row],[% work on project]]*AL13/12+tblSOW8[[#This Row],[Task Cost]]*AX13+tblSOW8[[#This Row],[External Expenses/Revenues USD]]*BJ13/tblSOW8[[#This Row],[Duration]]</f>
        <v>0</v>
      </c>
      <c r="AA13" s="74">
        <f>tblSOW8[[#This Row],[FTE Cost]]*tblSOW8[[#This Row],[% work on project]]*AM13/12+tblSOW8[[#This Row],[Task Cost]]*AY13+tblSOW8[[#This Row],[External Expenses/Revenues USD]]*BK13/tblSOW8[[#This Row],[Duration]]</f>
        <v>0</v>
      </c>
      <c r="AB13" s="74">
        <f>tblSOW8[[#This Row],[FTE Cost]]*tblSOW8[[#This Row],[% work on project]]*AN13/12+tblSOW8[[#This Row],[Task Cost]]*AZ13+tblSOW8[[#This Row],[External Expenses/Revenues USD]]*BL13/tblSOW8[[#This Row],[Duration]]</f>
        <v>0</v>
      </c>
      <c r="AC13" s="74">
        <f>tblSOW8[[#This Row],[FTE Cost]]*tblSOW8[[#This Row],[% work on project]]*AO13/12+tblSOW8[[#This Row],[Task Cost]]*BA13+tblSOW8[[#This Row],[External Expenses/Revenues USD]]*BM13/tblSOW8[[#This Row],[Duration]]</f>
        <v>0</v>
      </c>
      <c r="AD13" s="74">
        <f>tblSOW8[[#This Row],[FTE Cost]]*tblSOW8[[#This Row],[% work on project]]*AP13/12+tblSOW8[[#This Row],[Task Cost]]*BB13+tblSOW8[[#This Row],[External Expenses/Revenues USD]]*BN13/tblSOW8[[#This Row],[Duration]]</f>
        <v>0</v>
      </c>
      <c r="AE13" s="74">
        <f>tblSOW8[[#This Row],[FTE Cost]]*tblSOW8[[#This Row],[% work on project]]*AQ13/12+tblSOW8[[#This Row],[Task Cost]]*BC13+tblSOW8[[#This Row],[External Expenses/Revenues USD]]*BO13/tblSOW8[[#This Row],[Duration]]</f>
        <v>413.72160335295553</v>
      </c>
      <c r="AF13" s="74">
        <f>tblSOW8[[#This Row],[FTE Cost]]*tblSOW8[[#This Row],[% work on project]]*AR13/12+tblSOW8[[#This Row],[Task Cost]]*BD13+tblSOW8[[#This Row],[External Expenses/Revenues USD]]*BP13/tblSOW8[[#This Row],[Duration]]</f>
        <v>413.72160335295553</v>
      </c>
      <c r="AG13" s="74">
        <f>tblSOW8[[#This Row],[FTE Cost]]*tblSOW8[[#This Row],[% work on project]]*AS13/12+tblSOW8[[#This Row],[Task Cost]]*BE13+tblSOW8[[#This Row],[External Expenses/Revenues USD]]*BQ13/tblSOW8[[#This Row],[Duration]]</f>
        <v>413.72160335295553</v>
      </c>
      <c r="AH13" s="74">
        <f>tblSOW8[[#This Row],[FTE Cost]]*tblSOW8[[#This Row],[% work on project]]*AT13/12+tblSOW8[[#This Row],[Task Cost]]*BF13+tblSOW8[[#This Row],[External Expenses/Revenues USD]]*BR13/tblSOW8[[#This Row],[Duration]]</f>
        <v>0</v>
      </c>
      <c r="AI13" s="74">
        <f>tblSOW8[[#This Row],[FTE Cost]]*tblSOW8[[#This Row],[% work on project]]*AU13/12+tblSOW8[[#This Row],[Task Cost]]*BG13+tblSOW8[[#This Row],[External Expenses/Revenues USD]]*BS13/tblSOW8[[#This Row],[Duration]]</f>
        <v>0</v>
      </c>
      <c r="AJ13" s="74">
        <f>tblSOW8[[#This Row],[FTE Cost]]*tblSOW8[[#This Row],[% work on project]]*AV13/12+tblSOW8[[#This Row],[Task Cost]]*BH13+tblSOW8[[#This Row],[External Expenses/Revenues USD]]*BT13/tblSOW8[[#This Row],[Duration]]</f>
        <v>0</v>
      </c>
      <c r="AK13" s="74">
        <f t="shared" si="1"/>
        <v>0</v>
      </c>
      <c r="AL13" s="74">
        <f t="shared" si="1"/>
        <v>0</v>
      </c>
      <c r="AM13" s="74">
        <f t="shared" si="1"/>
        <v>0</v>
      </c>
      <c r="AN13" s="74">
        <f t="shared" si="1"/>
        <v>0</v>
      </c>
      <c r="AO13" s="74">
        <f t="shared" si="1"/>
        <v>0</v>
      </c>
      <c r="AP13" s="74">
        <f t="shared" si="1"/>
        <v>0</v>
      </c>
      <c r="AQ13" s="74">
        <f t="shared" si="1"/>
        <v>1</v>
      </c>
      <c r="AR13" s="74">
        <f t="shared" si="1"/>
        <v>1</v>
      </c>
      <c r="AS13" s="74">
        <f t="shared" si="1"/>
        <v>1</v>
      </c>
      <c r="AT13" s="74">
        <f t="shared" si="8"/>
        <v>0</v>
      </c>
      <c r="AU13" s="74">
        <f t="shared" si="8"/>
        <v>0</v>
      </c>
      <c r="AV13" s="74">
        <f t="shared" si="8"/>
        <v>0</v>
      </c>
      <c r="AW13" s="74">
        <f t="shared" si="3"/>
        <v>0</v>
      </c>
      <c r="AX13" s="74">
        <f t="shared" si="3"/>
        <v>0</v>
      </c>
      <c r="AY13" s="74">
        <f t="shared" si="3"/>
        <v>0</v>
      </c>
      <c r="AZ13" s="74">
        <f t="shared" si="3"/>
        <v>0</v>
      </c>
      <c r="BA13" s="74">
        <f t="shared" si="3"/>
        <v>0</v>
      </c>
      <c r="BB13" s="74">
        <f t="shared" si="3"/>
        <v>0</v>
      </c>
      <c r="BC13" s="74">
        <f t="shared" si="3"/>
        <v>0.5</v>
      </c>
      <c r="BD13" s="74">
        <f t="shared" si="3"/>
        <v>0.5</v>
      </c>
      <c r="BE13" s="74">
        <f t="shared" si="3"/>
        <v>0.5</v>
      </c>
      <c r="BF13" s="74">
        <f t="shared" si="9"/>
        <v>0</v>
      </c>
      <c r="BG13" s="74">
        <f t="shared" si="9"/>
        <v>0</v>
      </c>
      <c r="BH13" s="74">
        <f t="shared" si="9"/>
        <v>0</v>
      </c>
      <c r="BI13" s="74">
        <f t="shared" si="6"/>
        <v>0</v>
      </c>
      <c r="BJ13" s="74">
        <f t="shared" si="6"/>
        <v>0</v>
      </c>
      <c r="BK13" s="74">
        <f t="shared" si="6"/>
        <v>0</v>
      </c>
      <c r="BL13" s="74">
        <f t="shared" si="6"/>
        <v>0</v>
      </c>
      <c r="BM13" s="74">
        <f t="shared" si="6"/>
        <v>0</v>
      </c>
      <c r="BN13" s="74">
        <f t="shared" si="6"/>
        <v>0</v>
      </c>
      <c r="BO13" s="74">
        <f t="shared" si="6"/>
        <v>1</v>
      </c>
      <c r="BP13" s="74">
        <f t="shared" si="6"/>
        <v>1</v>
      </c>
      <c r="BQ13" s="74">
        <f t="shared" si="6"/>
        <v>1</v>
      </c>
      <c r="BR13" s="74">
        <f t="shared" si="6"/>
        <v>0</v>
      </c>
      <c r="BS13" s="74">
        <f t="shared" si="6"/>
        <v>0</v>
      </c>
      <c r="BT13" s="74">
        <f t="shared" si="6"/>
        <v>0</v>
      </c>
      <c r="BU13" s="74">
        <f>SUM(tblSOW8[[#This Row],[P1]:[P12]])</f>
        <v>3</v>
      </c>
      <c r="BV13" s="74">
        <f>IFERROR(VLOOKUP(H13,[30]Parameters!CK:CN,3,0),0)</f>
        <v>0</v>
      </c>
      <c r="BW13" s="74">
        <f>IFERROR(VLOOKUP(K13,[30]Parameters!BN:BW,10,0),0)</f>
        <v>827.44320670591105</v>
      </c>
      <c r="BX13" s="74">
        <f>SUM(tblSOW8[[#This Row],[Jan 2023 USD]:[Mar 2023 USD]])</f>
        <v>0</v>
      </c>
      <c r="BY13" s="74">
        <f>SUM(tblSOW8[[#This Row],[Apr 2023 USD]:[Jun 2023 USD]])</f>
        <v>0</v>
      </c>
      <c r="BZ13" s="74">
        <f>SUM(tblSOW8[[#This Row],[Jul 2023 USD]:[Sep 2023 USD]])</f>
        <v>1241.1648100588666</v>
      </c>
      <c r="CA13" s="74">
        <f>SUM(tblSOW8[[#This Row],[Oct 2023 USD]:[Dec 2023 USD]])</f>
        <v>0</v>
      </c>
    </row>
    <row r="14" spans="1:154" s="75" customFormat="1" ht="13.5" customHeight="1">
      <c r="A14" s="67" t="str">
        <f>CONCATENATE(INDEX([30]Parameters!$U$1:$V$20,MATCH(C14,[30]Parameters!$V$1:$V$20,0),1),"/",VLOOKUP(D14,[30]Parameters!$CG$1:$CH$12,2,0),".",E14,".",H14,".",LEFT(J14,3),"-",LEFT(K14,4))</f>
        <v>B20/20.P82.427.950-T109</v>
      </c>
      <c r="B14" s="67" t="s">
        <v>160</v>
      </c>
      <c r="C14" s="67" t="s">
        <v>158</v>
      </c>
      <c r="D14" s="111" t="s">
        <v>95</v>
      </c>
      <c r="E14" s="111" t="str">
        <f>VLOOKUP(F14,[30]Parameters!P:T,4,0)</f>
        <v>P82</v>
      </c>
      <c r="F14" s="111" t="s">
        <v>162</v>
      </c>
      <c r="G14" s="67"/>
      <c r="H14" s="44">
        <f>INDEX([30]Parameters!$B:$C,MATCH(I14,[30]Parameters!$C:$C,0),1)</f>
        <v>427</v>
      </c>
      <c r="I14" s="68" t="s">
        <v>104</v>
      </c>
      <c r="J14" s="68" t="s">
        <v>94</v>
      </c>
      <c r="K14" s="68" t="s">
        <v>105</v>
      </c>
      <c r="L14" s="68"/>
      <c r="M14" s="69"/>
      <c r="N14" s="119"/>
      <c r="O14" s="119"/>
      <c r="P14" s="72">
        <v>45108</v>
      </c>
      <c r="Q14" s="72">
        <v>45199</v>
      </c>
      <c r="R14" s="67"/>
      <c r="S14" s="67">
        <f t="shared" si="7"/>
        <v>3</v>
      </c>
      <c r="T14" s="68"/>
      <c r="U14" s="68">
        <v>2</v>
      </c>
      <c r="V14" s="68"/>
      <c r="W14" s="68" t="str">
        <f>IF(AND(ISNUMBER(SEARCH("-T",tblSOW8[[#This Row],[Budget Item]])),NOT(ISNUMBER(tblSOW8[[#This Row],[Task Units]]))),"Please Enter Task Units",
IF(AND(ISNUMBER(SEARCH("-E000",tblSOW8[[#This Row],[Budget Item]])),NOT(ISNUMBER(tblSOW8[[#This Row],[% work on project]]))),"Please Enter Organic FTE",
IF(AND(ISNUMBER(SEARCH("-E999",tblSOW8[[#This Row],[Budget Item]])),NOT(ISNUMBER(tblSOW8[[#This Row],[External Expenses/Revenues USD]]))),"Please Enter External Expenses",
"")))</f>
        <v/>
      </c>
      <c r="X14" s="67">
        <f>SUM(tblSOW8[[#This Row],[Jan 2023 USD]:[Dec 2023 USD]])</f>
        <v>1654.8864134118219</v>
      </c>
      <c r="Y14" s="74">
        <f>tblSOW8[[#This Row],[FTE Cost]]*tblSOW8[[#This Row],[% work on project]]*AK14/12+tblSOW8[[#This Row],[Task Cost]]*AW14+tblSOW8[[#This Row],[External Expenses/Revenues USD]]*BI14/tblSOW8[[#This Row],[Duration]]</f>
        <v>0</v>
      </c>
      <c r="Z14" s="74">
        <f>tblSOW8[[#This Row],[FTE Cost]]*tblSOW8[[#This Row],[% work on project]]*AL14/12+tblSOW8[[#This Row],[Task Cost]]*AX14+tblSOW8[[#This Row],[External Expenses/Revenues USD]]*BJ14/tblSOW8[[#This Row],[Duration]]</f>
        <v>0</v>
      </c>
      <c r="AA14" s="74">
        <f>tblSOW8[[#This Row],[FTE Cost]]*tblSOW8[[#This Row],[% work on project]]*AM14/12+tblSOW8[[#This Row],[Task Cost]]*AY14+tblSOW8[[#This Row],[External Expenses/Revenues USD]]*BK14/tblSOW8[[#This Row],[Duration]]</f>
        <v>0</v>
      </c>
      <c r="AB14" s="74">
        <f>tblSOW8[[#This Row],[FTE Cost]]*tblSOW8[[#This Row],[% work on project]]*AN14/12+tblSOW8[[#This Row],[Task Cost]]*AZ14+tblSOW8[[#This Row],[External Expenses/Revenues USD]]*BL14/tblSOW8[[#This Row],[Duration]]</f>
        <v>0</v>
      </c>
      <c r="AC14" s="74">
        <f>tblSOW8[[#This Row],[FTE Cost]]*tblSOW8[[#This Row],[% work on project]]*AO14/12+tblSOW8[[#This Row],[Task Cost]]*BA14+tblSOW8[[#This Row],[External Expenses/Revenues USD]]*BM14/tblSOW8[[#This Row],[Duration]]</f>
        <v>0</v>
      </c>
      <c r="AD14" s="74">
        <f>tblSOW8[[#This Row],[FTE Cost]]*tblSOW8[[#This Row],[% work on project]]*AP14/12+tblSOW8[[#This Row],[Task Cost]]*BB14+tblSOW8[[#This Row],[External Expenses/Revenues USD]]*BN14/tblSOW8[[#This Row],[Duration]]</f>
        <v>0</v>
      </c>
      <c r="AE14" s="74">
        <f>tblSOW8[[#This Row],[FTE Cost]]*tblSOW8[[#This Row],[% work on project]]*AQ14/12+tblSOW8[[#This Row],[Task Cost]]*BC14+tblSOW8[[#This Row],[External Expenses/Revenues USD]]*BO14/tblSOW8[[#This Row],[Duration]]</f>
        <v>551.62880447060729</v>
      </c>
      <c r="AF14" s="74">
        <f>tblSOW8[[#This Row],[FTE Cost]]*tblSOW8[[#This Row],[% work on project]]*AR14/12+tblSOW8[[#This Row],[Task Cost]]*BD14+tblSOW8[[#This Row],[External Expenses/Revenues USD]]*BP14/tblSOW8[[#This Row],[Duration]]</f>
        <v>551.62880447060729</v>
      </c>
      <c r="AG14" s="74">
        <f>tblSOW8[[#This Row],[FTE Cost]]*tblSOW8[[#This Row],[% work on project]]*AS14/12+tblSOW8[[#This Row],[Task Cost]]*BE14+tblSOW8[[#This Row],[External Expenses/Revenues USD]]*BQ14/tblSOW8[[#This Row],[Duration]]</f>
        <v>551.62880447060729</v>
      </c>
      <c r="AH14" s="74">
        <f>tblSOW8[[#This Row],[FTE Cost]]*tblSOW8[[#This Row],[% work on project]]*AT14/12+tblSOW8[[#This Row],[Task Cost]]*BF14+tblSOW8[[#This Row],[External Expenses/Revenues USD]]*BR14/tblSOW8[[#This Row],[Duration]]</f>
        <v>0</v>
      </c>
      <c r="AI14" s="74">
        <f>tblSOW8[[#This Row],[FTE Cost]]*tblSOW8[[#This Row],[% work on project]]*AU14/12+tblSOW8[[#This Row],[Task Cost]]*BG14+tblSOW8[[#This Row],[External Expenses/Revenues USD]]*BS14/tblSOW8[[#This Row],[Duration]]</f>
        <v>0</v>
      </c>
      <c r="AJ14" s="74">
        <f>tblSOW8[[#This Row],[FTE Cost]]*tblSOW8[[#This Row],[% work on project]]*AV14/12+tblSOW8[[#This Row],[Task Cost]]*BH14+tblSOW8[[#This Row],[External Expenses/Revenues USD]]*BT14/tblSOW8[[#This Row],[Duration]]</f>
        <v>0</v>
      </c>
      <c r="AK14" s="74">
        <f t="shared" ref="AK14:AS35" si="10">$S14/$BU14*BI14</f>
        <v>0</v>
      </c>
      <c r="AL14" s="74">
        <f t="shared" si="10"/>
        <v>0</v>
      </c>
      <c r="AM14" s="74">
        <f t="shared" si="10"/>
        <v>0</v>
      </c>
      <c r="AN14" s="74">
        <f t="shared" si="10"/>
        <v>0</v>
      </c>
      <c r="AO14" s="74">
        <f t="shared" si="10"/>
        <v>0</v>
      </c>
      <c r="AP14" s="74">
        <f t="shared" si="10"/>
        <v>0</v>
      </c>
      <c r="AQ14" s="74">
        <f t="shared" si="10"/>
        <v>1</v>
      </c>
      <c r="AR14" s="74">
        <f t="shared" si="10"/>
        <v>1</v>
      </c>
      <c r="AS14" s="74">
        <f t="shared" si="10"/>
        <v>1</v>
      </c>
      <c r="AT14" s="74">
        <f t="shared" si="8"/>
        <v>0</v>
      </c>
      <c r="AU14" s="74">
        <f t="shared" si="8"/>
        <v>0</v>
      </c>
      <c r="AV14" s="74">
        <f t="shared" si="8"/>
        <v>0</v>
      </c>
      <c r="AW14" s="74">
        <f t="shared" ref="AW14:BE35" si="11">$U14/$BU14*BI14</f>
        <v>0</v>
      </c>
      <c r="AX14" s="74">
        <f t="shared" si="11"/>
        <v>0</v>
      </c>
      <c r="AY14" s="74">
        <f t="shared" si="11"/>
        <v>0</v>
      </c>
      <c r="AZ14" s="74">
        <f t="shared" si="11"/>
        <v>0</v>
      </c>
      <c r="BA14" s="74">
        <f t="shared" si="11"/>
        <v>0</v>
      </c>
      <c r="BB14" s="74">
        <f t="shared" si="11"/>
        <v>0</v>
      </c>
      <c r="BC14" s="74">
        <f t="shared" si="11"/>
        <v>0.66666666666666663</v>
      </c>
      <c r="BD14" s="74">
        <f t="shared" si="11"/>
        <v>0.66666666666666663</v>
      </c>
      <c r="BE14" s="74">
        <f t="shared" si="11"/>
        <v>0.66666666666666663</v>
      </c>
      <c r="BF14" s="74">
        <f t="shared" si="9"/>
        <v>0</v>
      </c>
      <c r="BG14" s="74">
        <f t="shared" si="9"/>
        <v>0</v>
      </c>
      <c r="BH14" s="74">
        <f t="shared" si="9"/>
        <v>0</v>
      </c>
      <c r="BI14" s="74">
        <f t="shared" si="6"/>
        <v>0</v>
      </c>
      <c r="BJ14" s="74">
        <f t="shared" si="6"/>
        <v>0</v>
      </c>
      <c r="BK14" s="74">
        <f t="shared" si="6"/>
        <v>0</v>
      </c>
      <c r="BL14" s="74">
        <f t="shared" si="6"/>
        <v>0</v>
      </c>
      <c r="BM14" s="74">
        <f t="shared" si="6"/>
        <v>0</v>
      </c>
      <c r="BN14" s="74">
        <f t="shared" si="6"/>
        <v>0</v>
      </c>
      <c r="BO14" s="74">
        <f t="shared" si="6"/>
        <v>1</v>
      </c>
      <c r="BP14" s="74">
        <f t="shared" si="6"/>
        <v>1</v>
      </c>
      <c r="BQ14" s="74">
        <f t="shared" si="6"/>
        <v>1</v>
      </c>
      <c r="BR14" s="74">
        <f t="shared" si="6"/>
        <v>0</v>
      </c>
      <c r="BS14" s="74">
        <f t="shared" si="6"/>
        <v>0</v>
      </c>
      <c r="BT14" s="74">
        <f t="shared" si="6"/>
        <v>0</v>
      </c>
      <c r="BU14" s="74">
        <f>SUM(tblSOW8[[#This Row],[P1]:[P12]])</f>
        <v>3</v>
      </c>
      <c r="BV14" s="74">
        <f>IFERROR(VLOOKUP(H14,[30]Parameters!CK:CN,3,0),0)</f>
        <v>0</v>
      </c>
      <c r="BW14" s="74">
        <f>IFERROR(VLOOKUP(K14,[30]Parameters!BN:BW,10,0),0)</f>
        <v>827.44320670591105</v>
      </c>
      <c r="BX14" s="74">
        <f>SUM(tblSOW8[[#This Row],[Jan 2023 USD]:[Mar 2023 USD]])</f>
        <v>0</v>
      </c>
      <c r="BY14" s="74">
        <f>SUM(tblSOW8[[#This Row],[Apr 2023 USD]:[Jun 2023 USD]])</f>
        <v>0</v>
      </c>
      <c r="BZ14" s="74">
        <f>SUM(tblSOW8[[#This Row],[Jul 2023 USD]:[Sep 2023 USD]])</f>
        <v>1654.8864134118219</v>
      </c>
      <c r="CA14" s="74">
        <f>SUM(tblSOW8[[#This Row],[Oct 2023 USD]:[Dec 2023 USD]])</f>
        <v>0</v>
      </c>
    </row>
    <row r="15" spans="1:154" s="75" customFormat="1" ht="13.5" customHeight="1">
      <c r="A15" s="67" t="str">
        <f>CONCATENATE(INDEX([30]Parameters!$U$1:$V$20,MATCH(C15,[30]Parameters!$V$1:$V$20,0),1),"/",VLOOKUP(D15,[30]Parameters!$CG$1:$CH$12,2,0),".",E15,".",H15,".",LEFT(J15,3),"-",LEFT(K15,4))</f>
        <v>B20/20.P19.427.950-T109</v>
      </c>
      <c r="B15" s="67" t="s">
        <v>160</v>
      </c>
      <c r="C15" s="67" t="s">
        <v>158</v>
      </c>
      <c r="D15" s="111" t="s">
        <v>95</v>
      </c>
      <c r="E15" s="111" t="str">
        <f>VLOOKUP(F15,[30]Parameters!P:T,4,0)</f>
        <v>P19</v>
      </c>
      <c r="F15" s="111" t="s">
        <v>159</v>
      </c>
      <c r="G15" s="67"/>
      <c r="H15" s="44">
        <f>INDEX([30]Parameters!$B:$C,MATCH(I15,[30]Parameters!$C:$C,0),1)</f>
        <v>427</v>
      </c>
      <c r="I15" s="68" t="s">
        <v>104</v>
      </c>
      <c r="J15" s="68" t="s">
        <v>94</v>
      </c>
      <c r="K15" s="68" t="s">
        <v>105</v>
      </c>
      <c r="L15" s="68"/>
      <c r="M15" s="69"/>
      <c r="N15" s="119"/>
      <c r="O15" s="119"/>
      <c r="P15" s="72">
        <v>45108</v>
      </c>
      <c r="Q15" s="72">
        <v>45199</v>
      </c>
      <c r="R15" s="67"/>
      <c r="S15" s="67">
        <f t="shared" si="7"/>
        <v>3</v>
      </c>
      <c r="T15" s="68"/>
      <c r="U15" s="68"/>
      <c r="V15" s="68"/>
      <c r="W15" s="68" t="str">
        <f>IF(AND(ISNUMBER(SEARCH("-T",tblSOW8[[#This Row],[Budget Item]])),NOT(ISNUMBER(tblSOW8[[#This Row],[Task Units]]))),"Please Enter Task Units",
IF(AND(ISNUMBER(SEARCH("-E000",tblSOW8[[#This Row],[Budget Item]])),NOT(ISNUMBER(tblSOW8[[#This Row],[% work on project]]))),"Please Enter Organic FTE",
IF(AND(ISNUMBER(SEARCH("-E999",tblSOW8[[#This Row],[Budget Item]])),NOT(ISNUMBER(tblSOW8[[#This Row],[External Expenses/Revenues USD]]))),"Please Enter External Expenses",
"")))</f>
        <v>Please Enter Task Units</v>
      </c>
      <c r="X15" s="67">
        <f>SUM(tblSOW8[[#This Row],[Jan 2023 USD]:[Dec 2023 USD]])</f>
        <v>0</v>
      </c>
      <c r="Y15" s="74">
        <f>tblSOW8[[#This Row],[FTE Cost]]*tblSOW8[[#This Row],[% work on project]]*AK15/12+tblSOW8[[#This Row],[Task Cost]]*AW15+tblSOW8[[#This Row],[External Expenses/Revenues USD]]*BI15/tblSOW8[[#This Row],[Duration]]</f>
        <v>0</v>
      </c>
      <c r="Z15" s="74">
        <f>tblSOW8[[#This Row],[FTE Cost]]*tblSOW8[[#This Row],[% work on project]]*AL15/12+tblSOW8[[#This Row],[Task Cost]]*AX15+tblSOW8[[#This Row],[External Expenses/Revenues USD]]*BJ15/tblSOW8[[#This Row],[Duration]]</f>
        <v>0</v>
      </c>
      <c r="AA15" s="74">
        <f>tblSOW8[[#This Row],[FTE Cost]]*tblSOW8[[#This Row],[% work on project]]*AM15/12+tblSOW8[[#This Row],[Task Cost]]*AY15+tblSOW8[[#This Row],[External Expenses/Revenues USD]]*BK15/tblSOW8[[#This Row],[Duration]]</f>
        <v>0</v>
      </c>
      <c r="AB15" s="74">
        <f>tblSOW8[[#This Row],[FTE Cost]]*tblSOW8[[#This Row],[% work on project]]*AN15/12+tblSOW8[[#This Row],[Task Cost]]*AZ15+tblSOW8[[#This Row],[External Expenses/Revenues USD]]*BL15/tblSOW8[[#This Row],[Duration]]</f>
        <v>0</v>
      </c>
      <c r="AC15" s="74">
        <f>tblSOW8[[#This Row],[FTE Cost]]*tblSOW8[[#This Row],[% work on project]]*AO15/12+tblSOW8[[#This Row],[Task Cost]]*BA15+tblSOW8[[#This Row],[External Expenses/Revenues USD]]*BM15/tblSOW8[[#This Row],[Duration]]</f>
        <v>0</v>
      </c>
      <c r="AD15" s="74">
        <f>tblSOW8[[#This Row],[FTE Cost]]*tblSOW8[[#This Row],[% work on project]]*AP15/12+tblSOW8[[#This Row],[Task Cost]]*BB15+tblSOW8[[#This Row],[External Expenses/Revenues USD]]*BN15/tblSOW8[[#This Row],[Duration]]</f>
        <v>0</v>
      </c>
      <c r="AE15" s="74">
        <f>tblSOW8[[#This Row],[FTE Cost]]*tblSOW8[[#This Row],[% work on project]]*AQ15/12+tblSOW8[[#This Row],[Task Cost]]*BC15+tblSOW8[[#This Row],[External Expenses/Revenues USD]]*BO15/tblSOW8[[#This Row],[Duration]]</f>
        <v>0</v>
      </c>
      <c r="AF15" s="74">
        <f>tblSOW8[[#This Row],[FTE Cost]]*tblSOW8[[#This Row],[% work on project]]*AR15/12+tblSOW8[[#This Row],[Task Cost]]*BD15+tblSOW8[[#This Row],[External Expenses/Revenues USD]]*BP15/tblSOW8[[#This Row],[Duration]]</f>
        <v>0</v>
      </c>
      <c r="AG15" s="74">
        <f>tblSOW8[[#This Row],[FTE Cost]]*tblSOW8[[#This Row],[% work on project]]*AS15/12+tblSOW8[[#This Row],[Task Cost]]*BE15+tblSOW8[[#This Row],[External Expenses/Revenues USD]]*BQ15/tblSOW8[[#This Row],[Duration]]</f>
        <v>0</v>
      </c>
      <c r="AH15" s="74">
        <f>tblSOW8[[#This Row],[FTE Cost]]*tblSOW8[[#This Row],[% work on project]]*AT15/12+tblSOW8[[#This Row],[Task Cost]]*BF15+tblSOW8[[#This Row],[External Expenses/Revenues USD]]*BR15/tblSOW8[[#This Row],[Duration]]</f>
        <v>0</v>
      </c>
      <c r="AI15" s="74">
        <f>tblSOW8[[#This Row],[FTE Cost]]*tblSOW8[[#This Row],[% work on project]]*AU15/12+tblSOW8[[#This Row],[Task Cost]]*BG15+tblSOW8[[#This Row],[External Expenses/Revenues USD]]*BS15/tblSOW8[[#This Row],[Duration]]</f>
        <v>0</v>
      </c>
      <c r="AJ15" s="74">
        <f>tblSOW8[[#This Row],[FTE Cost]]*tblSOW8[[#This Row],[% work on project]]*AV15/12+tblSOW8[[#This Row],[Task Cost]]*BH15+tblSOW8[[#This Row],[External Expenses/Revenues USD]]*BT15/tblSOW8[[#This Row],[Duration]]</f>
        <v>0</v>
      </c>
      <c r="AK15" s="74">
        <f t="shared" si="10"/>
        <v>0</v>
      </c>
      <c r="AL15" s="74">
        <f t="shared" si="10"/>
        <v>0</v>
      </c>
      <c r="AM15" s="74">
        <f t="shared" si="10"/>
        <v>0</v>
      </c>
      <c r="AN15" s="74">
        <f t="shared" si="10"/>
        <v>0</v>
      </c>
      <c r="AO15" s="74">
        <f t="shared" si="10"/>
        <v>0</v>
      </c>
      <c r="AP15" s="74">
        <f t="shared" si="10"/>
        <v>0</v>
      </c>
      <c r="AQ15" s="74">
        <f t="shared" si="10"/>
        <v>1</v>
      </c>
      <c r="AR15" s="74">
        <f t="shared" si="10"/>
        <v>1</v>
      </c>
      <c r="AS15" s="74">
        <f t="shared" si="10"/>
        <v>1</v>
      </c>
      <c r="AT15" s="74">
        <f t="shared" si="8"/>
        <v>0</v>
      </c>
      <c r="AU15" s="74">
        <f t="shared" si="8"/>
        <v>0</v>
      </c>
      <c r="AV15" s="74">
        <f t="shared" si="8"/>
        <v>0</v>
      </c>
      <c r="AW15" s="74">
        <f t="shared" si="11"/>
        <v>0</v>
      </c>
      <c r="AX15" s="74">
        <f t="shared" si="11"/>
        <v>0</v>
      </c>
      <c r="AY15" s="74">
        <f t="shared" si="11"/>
        <v>0</v>
      </c>
      <c r="AZ15" s="74">
        <f t="shared" si="11"/>
        <v>0</v>
      </c>
      <c r="BA15" s="74">
        <f t="shared" si="11"/>
        <v>0</v>
      </c>
      <c r="BB15" s="74">
        <f t="shared" si="11"/>
        <v>0</v>
      </c>
      <c r="BC15" s="74">
        <f t="shared" si="11"/>
        <v>0</v>
      </c>
      <c r="BD15" s="74">
        <f t="shared" si="11"/>
        <v>0</v>
      </c>
      <c r="BE15" s="74">
        <f t="shared" si="11"/>
        <v>0</v>
      </c>
      <c r="BF15" s="74">
        <f t="shared" si="9"/>
        <v>0</v>
      </c>
      <c r="BG15" s="74">
        <f t="shared" si="9"/>
        <v>0</v>
      </c>
      <c r="BH15" s="74">
        <f t="shared" si="9"/>
        <v>0</v>
      </c>
      <c r="BI15" s="74">
        <f t="shared" si="6"/>
        <v>0</v>
      </c>
      <c r="BJ15" s="74">
        <f t="shared" si="6"/>
        <v>0</v>
      </c>
      <c r="BK15" s="74">
        <f t="shared" si="6"/>
        <v>0</v>
      </c>
      <c r="BL15" s="74">
        <f t="shared" si="6"/>
        <v>0</v>
      </c>
      <c r="BM15" s="74">
        <f t="shared" si="6"/>
        <v>0</v>
      </c>
      <c r="BN15" s="74">
        <f t="shared" si="6"/>
        <v>0</v>
      </c>
      <c r="BO15" s="74">
        <f t="shared" si="6"/>
        <v>1</v>
      </c>
      <c r="BP15" s="74">
        <f t="shared" si="6"/>
        <v>1</v>
      </c>
      <c r="BQ15" s="74">
        <f t="shared" si="6"/>
        <v>1</v>
      </c>
      <c r="BR15" s="74">
        <f t="shared" si="6"/>
        <v>0</v>
      </c>
      <c r="BS15" s="74">
        <f t="shared" si="6"/>
        <v>0</v>
      </c>
      <c r="BT15" s="74">
        <f t="shared" si="6"/>
        <v>0</v>
      </c>
      <c r="BU15" s="74">
        <f>SUM(tblSOW8[[#This Row],[P1]:[P12]])</f>
        <v>3</v>
      </c>
      <c r="BV15" s="74">
        <f>IFERROR(VLOOKUP(H15,[30]Parameters!CK:CN,3,0),0)</f>
        <v>0</v>
      </c>
      <c r="BW15" s="74">
        <f>IFERROR(VLOOKUP(K15,[30]Parameters!BN:BW,10,0),0)</f>
        <v>827.44320670591105</v>
      </c>
      <c r="BX15" s="74">
        <f>SUM(tblSOW8[[#This Row],[Jan 2023 USD]:[Mar 2023 USD]])</f>
        <v>0</v>
      </c>
      <c r="BY15" s="74">
        <f>SUM(tblSOW8[[#This Row],[Apr 2023 USD]:[Jun 2023 USD]])</f>
        <v>0</v>
      </c>
      <c r="BZ15" s="74">
        <f>SUM(tblSOW8[[#This Row],[Jul 2023 USD]:[Sep 2023 USD]])</f>
        <v>0</v>
      </c>
      <c r="CA15" s="74">
        <f>SUM(tblSOW8[[#This Row],[Oct 2023 USD]:[Dec 2023 USD]])</f>
        <v>0</v>
      </c>
    </row>
    <row r="16" spans="1:154" s="75" customFormat="1" ht="13.5" customHeight="1">
      <c r="A16" s="67" t="str">
        <f>CONCATENATE(INDEX([30]Parameters!$U$1:$V$20,MATCH(C16,[30]Parameters!$V$1:$V$20,0),1),"/",VLOOKUP(D16,[30]Parameters!$CG$1:$CH$12,2,0),".",E16,".",H16,".",LEFT(J16,3),"-",LEFT(K16,4))</f>
        <v>B20/20.P192.427.950-T109</v>
      </c>
      <c r="B16" s="67" t="s">
        <v>160</v>
      </c>
      <c r="C16" s="67" t="s">
        <v>158</v>
      </c>
      <c r="D16" s="111" t="s">
        <v>95</v>
      </c>
      <c r="E16" s="111" t="str">
        <f>VLOOKUP(F16,[30]Parameters!P:T,4,0)</f>
        <v>P192</v>
      </c>
      <c r="F16" s="111" t="s">
        <v>163</v>
      </c>
      <c r="G16" s="67"/>
      <c r="H16" s="44">
        <f>INDEX([30]Parameters!$B:$C,MATCH(I16,[30]Parameters!$C:$C,0),1)</f>
        <v>427</v>
      </c>
      <c r="I16" s="68" t="s">
        <v>104</v>
      </c>
      <c r="J16" s="68" t="s">
        <v>94</v>
      </c>
      <c r="K16" s="68" t="s">
        <v>105</v>
      </c>
      <c r="L16" s="68"/>
      <c r="M16" s="69"/>
      <c r="N16" s="119"/>
      <c r="O16" s="119"/>
      <c r="P16" s="72">
        <v>45200</v>
      </c>
      <c r="Q16" s="72">
        <v>45291</v>
      </c>
      <c r="R16" s="67"/>
      <c r="S16" s="67">
        <f t="shared" si="7"/>
        <v>3</v>
      </c>
      <c r="T16" s="68"/>
      <c r="U16" s="68">
        <v>0</v>
      </c>
      <c r="V16" s="68"/>
      <c r="W16" s="68" t="str">
        <f>IF(AND(ISNUMBER(SEARCH("-T",tblSOW8[[#This Row],[Budget Item]])),NOT(ISNUMBER(tblSOW8[[#This Row],[Task Units]]))),"Please Enter Task Units",
IF(AND(ISNUMBER(SEARCH("-E000",tblSOW8[[#This Row],[Budget Item]])),NOT(ISNUMBER(tblSOW8[[#This Row],[% work on project]]))),"Please Enter Organic FTE",
IF(AND(ISNUMBER(SEARCH("-E999",tblSOW8[[#This Row],[Budget Item]])),NOT(ISNUMBER(tblSOW8[[#This Row],[External Expenses/Revenues USD]]))),"Please Enter External Expenses",
"")))</f>
        <v/>
      </c>
      <c r="X16" s="67">
        <f>SUM(tblSOW8[[#This Row],[Jan 2023 USD]:[Dec 2023 USD]])</f>
        <v>0</v>
      </c>
      <c r="Y16" s="74">
        <f>tblSOW8[[#This Row],[FTE Cost]]*tblSOW8[[#This Row],[% work on project]]*AK16/12+tblSOW8[[#This Row],[Task Cost]]*AW16+tblSOW8[[#This Row],[External Expenses/Revenues USD]]*BI16/tblSOW8[[#This Row],[Duration]]</f>
        <v>0</v>
      </c>
      <c r="Z16" s="74">
        <f>tblSOW8[[#This Row],[FTE Cost]]*tblSOW8[[#This Row],[% work on project]]*AL16/12+tblSOW8[[#This Row],[Task Cost]]*AX16+tblSOW8[[#This Row],[External Expenses/Revenues USD]]*BJ16/tblSOW8[[#This Row],[Duration]]</f>
        <v>0</v>
      </c>
      <c r="AA16" s="74">
        <f>tblSOW8[[#This Row],[FTE Cost]]*tblSOW8[[#This Row],[% work on project]]*AM16/12+tblSOW8[[#This Row],[Task Cost]]*AY16+tblSOW8[[#This Row],[External Expenses/Revenues USD]]*BK16/tblSOW8[[#This Row],[Duration]]</f>
        <v>0</v>
      </c>
      <c r="AB16" s="74">
        <f>tblSOW8[[#This Row],[FTE Cost]]*tblSOW8[[#This Row],[% work on project]]*AN16/12+tblSOW8[[#This Row],[Task Cost]]*AZ16+tblSOW8[[#This Row],[External Expenses/Revenues USD]]*BL16/tblSOW8[[#This Row],[Duration]]</f>
        <v>0</v>
      </c>
      <c r="AC16" s="74">
        <f>tblSOW8[[#This Row],[FTE Cost]]*tblSOW8[[#This Row],[% work on project]]*AO16/12+tblSOW8[[#This Row],[Task Cost]]*BA16+tblSOW8[[#This Row],[External Expenses/Revenues USD]]*BM16/tblSOW8[[#This Row],[Duration]]</f>
        <v>0</v>
      </c>
      <c r="AD16" s="74">
        <f>tblSOW8[[#This Row],[FTE Cost]]*tblSOW8[[#This Row],[% work on project]]*AP16/12+tblSOW8[[#This Row],[Task Cost]]*BB16+tblSOW8[[#This Row],[External Expenses/Revenues USD]]*BN16/tblSOW8[[#This Row],[Duration]]</f>
        <v>0</v>
      </c>
      <c r="AE16" s="74">
        <f>tblSOW8[[#This Row],[FTE Cost]]*tblSOW8[[#This Row],[% work on project]]*AQ16/12+tblSOW8[[#This Row],[Task Cost]]*BC16+tblSOW8[[#This Row],[External Expenses/Revenues USD]]*BO16/tblSOW8[[#This Row],[Duration]]</f>
        <v>0</v>
      </c>
      <c r="AF16" s="74">
        <f>tblSOW8[[#This Row],[FTE Cost]]*tblSOW8[[#This Row],[% work on project]]*AR16/12+tblSOW8[[#This Row],[Task Cost]]*BD16+tblSOW8[[#This Row],[External Expenses/Revenues USD]]*BP16/tblSOW8[[#This Row],[Duration]]</f>
        <v>0</v>
      </c>
      <c r="AG16" s="74">
        <f>tblSOW8[[#This Row],[FTE Cost]]*tblSOW8[[#This Row],[% work on project]]*AS16/12+tblSOW8[[#This Row],[Task Cost]]*BE16+tblSOW8[[#This Row],[External Expenses/Revenues USD]]*BQ16/tblSOW8[[#This Row],[Duration]]</f>
        <v>0</v>
      </c>
      <c r="AH16" s="74">
        <f>tblSOW8[[#This Row],[FTE Cost]]*tblSOW8[[#This Row],[% work on project]]*AT16/12+tblSOW8[[#This Row],[Task Cost]]*BF16+tblSOW8[[#This Row],[External Expenses/Revenues USD]]*BR16/tblSOW8[[#This Row],[Duration]]</f>
        <v>0</v>
      </c>
      <c r="AI16" s="74">
        <f>tblSOW8[[#This Row],[FTE Cost]]*tblSOW8[[#This Row],[% work on project]]*AU16/12+tblSOW8[[#This Row],[Task Cost]]*BG16+tblSOW8[[#This Row],[External Expenses/Revenues USD]]*BS16/tblSOW8[[#This Row],[Duration]]</f>
        <v>0</v>
      </c>
      <c r="AJ16" s="74">
        <f>tblSOW8[[#This Row],[FTE Cost]]*tblSOW8[[#This Row],[% work on project]]*AV16/12+tblSOW8[[#This Row],[Task Cost]]*BH16+tblSOW8[[#This Row],[External Expenses/Revenues USD]]*BT16/tblSOW8[[#This Row],[Duration]]</f>
        <v>0</v>
      </c>
      <c r="AK16" s="74">
        <f t="shared" si="10"/>
        <v>0</v>
      </c>
      <c r="AL16" s="74">
        <f t="shared" si="10"/>
        <v>0</v>
      </c>
      <c r="AM16" s="74">
        <f t="shared" si="10"/>
        <v>0</v>
      </c>
      <c r="AN16" s="74">
        <f t="shared" si="10"/>
        <v>0</v>
      </c>
      <c r="AO16" s="74">
        <f t="shared" si="10"/>
        <v>0</v>
      </c>
      <c r="AP16" s="74">
        <f t="shared" si="10"/>
        <v>0</v>
      </c>
      <c r="AQ16" s="74">
        <f t="shared" si="10"/>
        <v>0</v>
      </c>
      <c r="AR16" s="74">
        <f t="shared" si="10"/>
        <v>0</v>
      </c>
      <c r="AS16" s="74">
        <f t="shared" si="10"/>
        <v>0</v>
      </c>
      <c r="AT16" s="74">
        <f t="shared" si="8"/>
        <v>1</v>
      </c>
      <c r="AU16" s="74">
        <f t="shared" si="8"/>
        <v>1</v>
      </c>
      <c r="AV16" s="74">
        <f t="shared" si="8"/>
        <v>1</v>
      </c>
      <c r="AW16" s="74">
        <f t="shared" si="11"/>
        <v>0</v>
      </c>
      <c r="AX16" s="74">
        <f t="shared" si="11"/>
        <v>0</v>
      </c>
      <c r="AY16" s="74">
        <f t="shared" si="11"/>
        <v>0</v>
      </c>
      <c r="AZ16" s="74">
        <f t="shared" si="11"/>
        <v>0</v>
      </c>
      <c r="BA16" s="74">
        <f t="shared" si="11"/>
        <v>0</v>
      </c>
      <c r="BB16" s="74">
        <f t="shared" si="11"/>
        <v>0</v>
      </c>
      <c r="BC16" s="74">
        <f t="shared" si="11"/>
        <v>0</v>
      </c>
      <c r="BD16" s="74">
        <f t="shared" si="11"/>
        <v>0</v>
      </c>
      <c r="BE16" s="74">
        <f t="shared" si="11"/>
        <v>0</v>
      </c>
      <c r="BF16" s="74">
        <f t="shared" si="9"/>
        <v>0</v>
      </c>
      <c r="BG16" s="74">
        <f t="shared" si="9"/>
        <v>0</v>
      </c>
      <c r="BH16" s="74">
        <f t="shared" si="9"/>
        <v>0</v>
      </c>
      <c r="BI16" s="74">
        <f t="shared" si="6"/>
        <v>0</v>
      </c>
      <c r="BJ16" s="74">
        <f t="shared" si="6"/>
        <v>0</v>
      </c>
      <c r="BK16" s="74">
        <f t="shared" si="6"/>
        <v>0</v>
      </c>
      <c r="BL16" s="74">
        <f t="shared" si="6"/>
        <v>0</v>
      </c>
      <c r="BM16" s="74">
        <f t="shared" si="6"/>
        <v>0</v>
      </c>
      <c r="BN16" s="74">
        <f t="shared" si="6"/>
        <v>0</v>
      </c>
      <c r="BO16" s="74">
        <f t="shared" si="6"/>
        <v>0</v>
      </c>
      <c r="BP16" s="74">
        <f t="shared" si="6"/>
        <v>0</v>
      </c>
      <c r="BQ16" s="74">
        <f t="shared" si="6"/>
        <v>0</v>
      </c>
      <c r="BR16" s="74">
        <f t="shared" si="6"/>
        <v>1</v>
      </c>
      <c r="BS16" s="74">
        <f t="shared" si="6"/>
        <v>1</v>
      </c>
      <c r="BT16" s="74">
        <f t="shared" si="6"/>
        <v>1</v>
      </c>
      <c r="BU16" s="74">
        <f>SUM(tblSOW8[[#This Row],[P1]:[P12]])</f>
        <v>3</v>
      </c>
      <c r="BV16" s="74">
        <f>IFERROR(VLOOKUP(H16,[30]Parameters!CK:CN,3,0),0)</f>
        <v>0</v>
      </c>
      <c r="BW16" s="74">
        <f>IFERROR(VLOOKUP(K16,[30]Parameters!BN:BW,10,0),0)</f>
        <v>827.44320670591105</v>
      </c>
      <c r="BX16" s="74">
        <f>SUM(tblSOW8[[#This Row],[Jan 2023 USD]:[Mar 2023 USD]])</f>
        <v>0</v>
      </c>
      <c r="BY16" s="74">
        <f>SUM(tblSOW8[[#This Row],[Apr 2023 USD]:[Jun 2023 USD]])</f>
        <v>0</v>
      </c>
      <c r="BZ16" s="74">
        <f>SUM(tblSOW8[[#This Row],[Jul 2023 USD]:[Sep 2023 USD]])</f>
        <v>0</v>
      </c>
      <c r="CA16" s="74">
        <f>SUM(tblSOW8[[#This Row],[Oct 2023 USD]:[Dec 2023 USD]])</f>
        <v>0</v>
      </c>
    </row>
    <row r="17" spans="1:79" s="75" customFormat="1" ht="13.5" customHeight="1">
      <c r="A17" s="67" t="str">
        <f>CONCATENATE(INDEX([30]Parameters!$U$1:$V$20,MATCH(C17,[30]Parameters!$V$1:$V$20,0),1),"/",VLOOKUP(D17,[30]Parameters!$CG$1:$CH$12,2,0),".",E17,".",H17,".",LEFT(J17,3),"-",LEFT(K17,4))</f>
        <v>B20/20.P145.427.950-T109</v>
      </c>
      <c r="B17" s="67" t="s">
        <v>160</v>
      </c>
      <c r="C17" s="67" t="s">
        <v>158</v>
      </c>
      <c r="D17" s="111" t="s">
        <v>95</v>
      </c>
      <c r="E17" s="111" t="str">
        <f>VLOOKUP(F17,[30]Parameters!P:T,4,0)</f>
        <v>P145</v>
      </c>
      <c r="F17" s="111" t="s">
        <v>161</v>
      </c>
      <c r="G17" s="67"/>
      <c r="H17" s="44">
        <f>INDEX([30]Parameters!$B:$C,MATCH(I17,[30]Parameters!$C:$C,0),1)</f>
        <v>427</v>
      </c>
      <c r="I17" s="68" t="s">
        <v>104</v>
      </c>
      <c r="J17" s="68" t="s">
        <v>94</v>
      </c>
      <c r="K17" s="68" t="s">
        <v>105</v>
      </c>
      <c r="L17" s="68"/>
      <c r="M17" s="69"/>
      <c r="N17" s="119"/>
      <c r="O17" s="119"/>
      <c r="P17" s="72">
        <v>45200</v>
      </c>
      <c r="Q17" s="72">
        <v>45291</v>
      </c>
      <c r="R17" s="67"/>
      <c r="S17" s="67">
        <f t="shared" si="7"/>
        <v>3</v>
      </c>
      <c r="T17" s="68"/>
      <c r="U17" s="68">
        <v>4.5</v>
      </c>
      <c r="V17" s="68"/>
      <c r="W17" s="68" t="str">
        <f>IF(AND(ISNUMBER(SEARCH("-T",tblSOW8[[#This Row],[Budget Item]])),NOT(ISNUMBER(tblSOW8[[#This Row],[Task Units]]))),"Please Enter Task Units",
IF(AND(ISNUMBER(SEARCH("-E000",tblSOW8[[#This Row],[Budget Item]])),NOT(ISNUMBER(tblSOW8[[#This Row],[% work on project]]))),"Please Enter Organic FTE",
IF(AND(ISNUMBER(SEARCH("-E999",tblSOW8[[#This Row],[Budget Item]])),NOT(ISNUMBER(tblSOW8[[#This Row],[External Expenses/Revenues USD]]))),"Please Enter External Expenses",
"")))</f>
        <v/>
      </c>
      <c r="X17" s="67">
        <f>SUM(tblSOW8[[#This Row],[Jan 2023 USD]:[Dec 2023 USD]])</f>
        <v>3723.4944301766</v>
      </c>
      <c r="Y17" s="74">
        <f>tblSOW8[[#This Row],[FTE Cost]]*tblSOW8[[#This Row],[% work on project]]*AK17/12+tblSOW8[[#This Row],[Task Cost]]*AW17+tblSOW8[[#This Row],[External Expenses/Revenues USD]]*BI17/tblSOW8[[#This Row],[Duration]]</f>
        <v>0</v>
      </c>
      <c r="Z17" s="74">
        <f>tblSOW8[[#This Row],[FTE Cost]]*tblSOW8[[#This Row],[% work on project]]*AL17/12+tblSOW8[[#This Row],[Task Cost]]*AX17+tblSOW8[[#This Row],[External Expenses/Revenues USD]]*BJ17/tblSOW8[[#This Row],[Duration]]</f>
        <v>0</v>
      </c>
      <c r="AA17" s="74">
        <f>tblSOW8[[#This Row],[FTE Cost]]*tblSOW8[[#This Row],[% work on project]]*AM17/12+tblSOW8[[#This Row],[Task Cost]]*AY17+tblSOW8[[#This Row],[External Expenses/Revenues USD]]*BK17/tblSOW8[[#This Row],[Duration]]</f>
        <v>0</v>
      </c>
      <c r="AB17" s="74">
        <f>tblSOW8[[#This Row],[FTE Cost]]*tblSOW8[[#This Row],[% work on project]]*AN17/12+tblSOW8[[#This Row],[Task Cost]]*AZ17+tblSOW8[[#This Row],[External Expenses/Revenues USD]]*BL17/tblSOW8[[#This Row],[Duration]]</f>
        <v>0</v>
      </c>
      <c r="AC17" s="74">
        <f>tblSOW8[[#This Row],[FTE Cost]]*tblSOW8[[#This Row],[% work on project]]*AO17/12+tblSOW8[[#This Row],[Task Cost]]*BA17+tblSOW8[[#This Row],[External Expenses/Revenues USD]]*BM17/tblSOW8[[#This Row],[Duration]]</f>
        <v>0</v>
      </c>
      <c r="AD17" s="74">
        <f>tblSOW8[[#This Row],[FTE Cost]]*tblSOW8[[#This Row],[% work on project]]*AP17/12+tblSOW8[[#This Row],[Task Cost]]*BB17+tblSOW8[[#This Row],[External Expenses/Revenues USD]]*BN17/tblSOW8[[#This Row],[Duration]]</f>
        <v>0</v>
      </c>
      <c r="AE17" s="74">
        <f>tblSOW8[[#This Row],[FTE Cost]]*tblSOW8[[#This Row],[% work on project]]*AQ17/12+tblSOW8[[#This Row],[Task Cost]]*BC17+tblSOW8[[#This Row],[External Expenses/Revenues USD]]*BO17/tblSOW8[[#This Row],[Duration]]</f>
        <v>0</v>
      </c>
      <c r="AF17" s="74">
        <f>tblSOW8[[#This Row],[FTE Cost]]*tblSOW8[[#This Row],[% work on project]]*AR17/12+tblSOW8[[#This Row],[Task Cost]]*BD17+tblSOW8[[#This Row],[External Expenses/Revenues USD]]*BP17/tblSOW8[[#This Row],[Duration]]</f>
        <v>0</v>
      </c>
      <c r="AG17" s="74">
        <f>tblSOW8[[#This Row],[FTE Cost]]*tblSOW8[[#This Row],[% work on project]]*AS17/12+tblSOW8[[#This Row],[Task Cost]]*BE17+tblSOW8[[#This Row],[External Expenses/Revenues USD]]*BQ17/tblSOW8[[#This Row],[Duration]]</f>
        <v>0</v>
      </c>
      <c r="AH17" s="74">
        <f>tblSOW8[[#This Row],[FTE Cost]]*tblSOW8[[#This Row],[% work on project]]*AT17/12+tblSOW8[[#This Row],[Task Cost]]*BF17+tblSOW8[[#This Row],[External Expenses/Revenues USD]]*BR17/tblSOW8[[#This Row],[Duration]]</f>
        <v>1241.1648100588666</v>
      </c>
      <c r="AI17" s="74">
        <f>tblSOW8[[#This Row],[FTE Cost]]*tblSOW8[[#This Row],[% work on project]]*AU17/12+tblSOW8[[#This Row],[Task Cost]]*BG17+tblSOW8[[#This Row],[External Expenses/Revenues USD]]*BS17/tblSOW8[[#This Row],[Duration]]</f>
        <v>1241.1648100588666</v>
      </c>
      <c r="AJ17" s="74">
        <f>tblSOW8[[#This Row],[FTE Cost]]*tblSOW8[[#This Row],[% work on project]]*AV17/12+tblSOW8[[#This Row],[Task Cost]]*BH17+tblSOW8[[#This Row],[External Expenses/Revenues USD]]*BT17/tblSOW8[[#This Row],[Duration]]</f>
        <v>1241.1648100588666</v>
      </c>
      <c r="AK17" s="74">
        <f t="shared" si="10"/>
        <v>0</v>
      </c>
      <c r="AL17" s="74">
        <f t="shared" si="10"/>
        <v>0</v>
      </c>
      <c r="AM17" s="74">
        <f t="shared" si="10"/>
        <v>0</v>
      </c>
      <c r="AN17" s="74">
        <f t="shared" si="10"/>
        <v>0</v>
      </c>
      <c r="AO17" s="74">
        <f t="shared" si="10"/>
        <v>0</v>
      </c>
      <c r="AP17" s="74">
        <f t="shared" si="10"/>
        <v>0</v>
      </c>
      <c r="AQ17" s="74">
        <f t="shared" si="10"/>
        <v>0</v>
      </c>
      <c r="AR17" s="74">
        <f t="shared" si="10"/>
        <v>0</v>
      </c>
      <c r="AS17" s="74">
        <f t="shared" si="10"/>
        <v>0</v>
      </c>
      <c r="AT17" s="74">
        <f t="shared" si="8"/>
        <v>1</v>
      </c>
      <c r="AU17" s="74">
        <f t="shared" si="8"/>
        <v>1</v>
      </c>
      <c r="AV17" s="74">
        <f t="shared" si="8"/>
        <v>1</v>
      </c>
      <c r="AW17" s="74">
        <f t="shared" si="11"/>
        <v>0</v>
      </c>
      <c r="AX17" s="74">
        <f t="shared" si="11"/>
        <v>0</v>
      </c>
      <c r="AY17" s="74">
        <f t="shared" si="11"/>
        <v>0</v>
      </c>
      <c r="AZ17" s="74">
        <f t="shared" si="11"/>
        <v>0</v>
      </c>
      <c r="BA17" s="74">
        <f t="shared" si="11"/>
        <v>0</v>
      </c>
      <c r="BB17" s="74">
        <f t="shared" si="11"/>
        <v>0</v>
      </c>
      <c r="BC17" s="74">
        <f t="shared" si="11"/>
        <v>0</v>
      </c>
      <c r="BD17" s="74">
        <f t="shared" si="11"/>
        <v>0</v>
      </c>
      <c r="BE17" s="74">
        <f t="shared" si="11"/>
        <v>0</v>
      </c>
      <c r="BF17" s="74">
        <f t="shared" si="9"/>
        <v>1.5</v>
      </c>
      <c r="BG17" s="74">
        <f t="shared" si="9"/>
        <v>1.5</v>
      </c>
      <c r="BH17" s="74">
        <f t="shared" si="9"/>
        <v>1.5</v>
      </c>
      <c r="BI17" s="74">
        <f t="shared" si="6"/>
        <v>0</v>
      </c>
      <c r="BJ17" s="74">
        <f t="shared" si="6"/>
        <v>0</v>
      </c>
      <c r="BK17" s="74">
        <f t="shared" si="6"/>
        <v>0</v>
      </c>
      <c r="BL17" s="74">
        <f t="shared" si="6"/>
        <v>0</v>
      </c>
      <c r="BM17" s="74">
        <f t="shared" si="6"/>
        <v>0</v>
      </c>
      <c r="BN17" s="74">
        <f t="shared" si="6"/>
        <v>0</v>
      </c>
      <c r="BO17" s="74">
        <f t="shared" si="6"/>
        <v>0</v>
      </c>
      <c r="BP17" s="74">
        <f t="shared" si="6"/>
        <v>0</v>
      </c>
      <c r="BQ17" s="74">
        <f t="shared" si="6"/>
        <v>0</v>
      </c>
      <c r="BR17" s="74">
        <f t="shared" si="6"/>
        <v>1</v>
      </c>
      <c r="BS17" s="74">
        <f t="shared" si="6"/>
        <v>1</v>
      </c>
      <c r="BT17" s="74">
        <f t="shared" si="6"/>
        <v>1</v>
      </c>
      <c r="BU17" s="74">
        <f>SUM(tblSOW8[[#This Row],[P1]:[P12]])</f>
        <v>3</v>
      </c>
      <c r="BV17" s="74">
        <f>IFERROR(VLOOKUP(H17,[30]Parameters!CK:CN,3,0),0)</f>
        <v>0</v>
      </c>
      <c r="BW17" s="74">
        <f>IFERROR(VLOOKUP(K17,[30]Parameters!BN:BW,10,0),0)</f>
        <v>827.44320670591105</v>
      </c>
      <c r="BX17" s="74">
        <f>SUM(tblSOW8[[#This Row],[Jan 2023 USD]:[Mar 2023 USD]])</f>
        <v>0</v>
      </c>
      <c r="BY17" s="74">
        <f>SUM(tblSOW8[[#This Row],[Apr 2023 USD]:[Jun 2023 USD]])</f>
        <v>0</v>
      </c>
      <c r="BZ17" s="74">
        <f>SUM(tblSOW8[[#This Row],[Jul 2023 USD]:[Sep 2023 USD]])</f>
        <v>0</v>
      </c>
      <c r="CA17" s="74">
        <f>SUM(tblSOW8[[#This Row],[Oct 2023 USD]:[Dec 2023 USD]])</f>
        <v>3723.4944301766</v>
      </c>
    </row>
    <row r="18" spans="1:79" s="75" customFormat="1" ht="13.5" customHeight="1">
      <c r="A18" s="67" t="str">
        <f>CONCATENATE(INDEX([30]Parameters!$U$1:$V$20,MATCH(C18,[30]Parameters!$V$1:$V$20,0),1),"/",VLOOKUP(D18,[30]Parameters!$CG$1:$CH$12,2,0),".",E18,".",H18,".",LEFT(J18,3),"-",LEFT(K18,4))</f>
        <v>B20/20.P82.427.950-T109</v>
      </c>
      <c r="B18" s="67" t="s">
        <v>160</v>
      </c>
      <c r="C18" s="67" t="s">
        <v>158</v>
      </c>
      <c r="D18" s="111" t="s">
        <v>95</v>
      </c>
      <c r="E18" s="111" t="str">
        <f>VLOOKUP(F18,[30]Parameters!P:T,4,0)</f>
        <v>P82</v>
      </c>
      <c r="F18" s="111" t="s">
        <v>162</v>
      </c>
      <c r="G18" s="67"/>
      <c r="H18" s="44">
        <f>INDEX([30]Parameters!$B:$C,MATCH(I18,[30]Parameters!$C:$C,0),1)</f>
        <v>427</v>
      </c>
      <c r="I18" s="68" t="s">
        <v>104</v>
      </c>
      <c r="J18" s="68" t="s">
        <v>94</v>
      </c>
      <c r="K18" s="68" t="s">
        <v>105</v>
      </c>
      <c r="L18" s="68"/>
      <c r="M18" s="69"/>
      <c r="N18" s="119"/>
      <c r="O18" s="119"/>
      <c r="P18" s="72">
        <v>45200</v>
      </c>
      <c r="Q18" s="72">
        <v>45291</v>
      </c>
      <c r="R18" s="67"/>
      <c r="S18" s="67">
        <f t="shared" si="7"/>
        <v>3</v>
      </c>
      <c r="T18" s="68"/>
      <c r="U18" s="68">
        <v>3</v>
      </c>
      <c r="V18" s="68"/>
      <c r="W18" s="68" t="str">
        <f>IF(AND(ISNUMBER(SEARCH("-T",tblSOW8[[#This Row],[Budget Item]])),NOT(ISNUMBER(tblSOW8[[#This Row],[Task Units]]))),"Please Enter Task Units",
IF(AND(ISNUMBER(SEARCH("-E000",tblSOW8[[#This Row],[Budget Item]])),NOT(ISNUMBER(tblSOW8[[#This Row],[% work on project]]))),"Please Enter Organic FTE",
IF(AND(ISNUMBER(SEARCH("-E999",tblSOW8[[#This Row],[Budget Item]])),NOT(ISNUMBER(tblSOW8[[#This Row],[External Expenses/Revenues USD]]))),"Please Enter External Expenses",
"")))</f>
        <v/>
      </c>
      <c r="X18" s="67">
        <f>SUM(tblSOW8[[#This Row],[Jan 2023 USD]:[Dec 2023 USD]])</f>
        <v>2482.3296201177332</v>
      </c>
      <c r="Y18" s="74">
        <f>tblSOW8[[#This Row],[FTE Cost]]*tblSOW8[[#This Row],[% work on project]]*AK18/12+tblSOW8[[#This Row],[Task Cost]]*AW18+tblSOW8[[#This Row],[External Expenses/Revenues USD]]*BI18/tblSOW8[[#This Row],[Duration]]</f>
        <v>0</v>
      </c>
      <c r="Z18" s="74">
        <f>tblSOW8[[#This Row],[FTE Cost]]*tblSOW8[[#This Row],[% work on project]]*AL18/12+tblSOW8[[#This Row],[Task Cost]]*AX18+tblSOW8[[#This Row],[External Expenses/Revenues USD]]*BJ18/tblSOW8[[#This Row],[Duration]]</f>
        <v>0</v>
      </c>
      <c r="AA18" s="74">
        <f>tblSOW8[[#This Row],[FTE Cost]]*tblSOW8[[#This Row],[% work on project]]*AM18/12+tblSOW8[[#This Row],[Task Cost]]*AY18+tblSOW8[[#This Row],[External Expenses/Revenues USD]]*BK18/tblSOW8[[#This Row],[Duration]]</f>
        <v>0</v>
      </c>
      <c r="AB18" s="74">
        <f>tblSOW8[[#This Row],[FTE Cost]]*tblSOW8[[#This Row],[% work on project]]*AN18/12+tblSOW8[[#This Row],[Task Cost]]*AZ18+tblSOW8[[#This Row],[External Expenses/Revenues USD]]*BL18/tblSOW8[[#This Row],[Duration]]</f>
        <v>0</v>
      </c>
      <c r="AC18" s="74">
        <f>tblSOW8[[#This Row],[FTE Cost]]*tblSOW8[[#This Row],[% work on project]]*AO18/12+tblSOW8[[#This Row],[Task Cost]]*BA18+tblSOW8[[#This Row],[External Expenses/Revenues USD]]*BM18/tblSOW8[[#This Row],[Duration]]</f>
        <v>0</v>
      </c>
      <c r="AD18" s="74">
        <f>tblSOW8[[#This Row],[FTE Cost]]*tblSOW8[[#This Row],[% work on project]]*AP18/12+tblSOW8[[#This Row],[Task Cost]]*BB18+tblSOW8[[#This Row],[External Expenses/Revenues USD]]*BN18/tblSOW8[[#This Row],[Duration]]</f>
        <v>0</v>
      </c>
      <c r="AE18" s="74">
        <f>tblSOW8[[#This Row],[FTE Cost]]*tblSOW8[[#This Row],[% work on project]]*AQ18/12+tblSOW8[[#This Row],[Task Cost]]*BC18+tblSOW8[[#This Row],[External Expenses/Revenues USD]]*BO18/tblSOW8[[#This Row],[Duration]]</f>
        <v>0</v>
      </c>
      <c r="AF18" s="74">
        <f>tblSOW8[[#This Row],[FTE Cost]]*tblSOW8[[#This Row],[% work on project]]*AR18/12+tblSOW8[[#This Row],[Task Cost]]*BD18+tblSOW8[[#This Row],[External Expenses/Revenues USD]]*BP18/tblSOW8[[#This Row],[Duration]]</f>
        <v>0</v>
      </c>
      <c r="AG18" s="74">
        <f>tblSOW8[[#This Row],[FTE Cost]]*tblSOW8[[#This Row],[% work on project]]*AS18/12+tblSOW8[[#This Row],[Task Cost]]*BE18+tblSOW8[[#This Row],[External Expenses/Revenues USD]]*BQ18/tblSOW8[[#This Row],[Duration]]</f>
        <v>0</v>
      </c>
      <c r="AH18" s="74">
        <f>tblSOW8[[#This Row],[FTE Cost]]*tblSOW8[[#This Row],[% work on project]]*AT18/12+tblSOW8[[#This Row],[Task Cost]]*BF18+tblSOW8[[#This Row],[External Expenses/Revenues USD]]*BR18/tblSOW8[[#This Row],[Duration]]</f>
        <v>827.44320670591105</v>
      </c>
      <c r="AI18" s="74">
        <f>tblSOW8[[#This Row],[FTE Cost]]*tblSOW8[[#This Row],[% work on project]]*AU18/12+tblSOW8[[#This Row],[Task Cost]]*BG18+tblSOW8[[#This Row],[External Expenses/Revenues USD]]*BS18/tblSOW8[[#This Row],[Duration]]</f>
        <v>827.44320670591105</v>
      </c>
      <c r="AJ18" s="74">
        <f>tblSOW8[[#This Row],[FTE Cost]]*tblSOW8[[#This Row],[% work on project]]*AV18/12+tblSOW8[[#This Row],[Task Cost]]*BH18+tblSOW8[[#This Row],[External Expenses/Revenues USD]]*BT18/tblSOW8[[#This Row],[Duration]]</f>
        <v>827.44320670591105</v>
      </c>
      <c r="AK18" s="74">
        <f t="shared" si="10"/>
        <v>0</v>
      </c>
      <c r="AL18" s="74">
        <f t="shared" si="10"/>
        <v>0</v>
      </c>
      <c r="AM18" s="74">
        <f t="shared" si="10"/>
        <v>0</v>
      </c>
      <c r="AN18" s="74">
        <f t="shared" si="10"/>
        <v>0</v>
      </c>
      <c r="AO18" s="74">
        <f t="shared" si="10"/>
        <v>0</v>
      </c>
      <c r="AP18" s="74">
        <f t="shared" si="10"/>
        <v>0</v>
      </c>
      <c r="AQ18" s="74">
        <f t="shared" si="10"/>
        <v>0</v>
      </c>
      <c r="AR18" s="74">
        <f t="shared" si="10"/>
        <v>0</v>
      </c>
      <c r="AS18" s="74">
        <f t="shared" si="10"/>
        <v>0</v>
      </c>
      <c r="AT18" s="74">
        <f t="shared" si="8"/>
        <v>1</v>
      </c>
      <c r="AU18" s="74">
        <f t="shared" si="8"/>
        <v>1</v>
      </c>
      <c r="AV18" s="74">
        <f t="shared" si="8"/>
        <v>1</v>
      </c>
      <c r="AW18" s="74">
        <f t="shared" si="11"/>
        <v>0</v>
      </c>
      <c r="AX18" s="74">
        <f t="shared" si="11"/>
        <v>0</v>
      </c>
      <c r="AY18" s="74">
        <f t="shared" si="11"/>
        <v>0</v>
      </c>
      <c r="AZ18" s="74">
        <f t="shared" si="11"/>
        <v>0</v>
      </c>
      <c r="BA18" s="74">
        <f t="shared" si="11"/>
        <v>0</v>
      </c>
      <c r="BB18" s="74">
        <f t="shared" si="11"/>
        <v>0</v>
      </c>
      <c r="BC18" s="74">
        <f t="shared" si="11"/>
        <v>0</v>
      </c>
      <c r="BD18" s="74">
        <f t="shared" si="11"/>
        <v>0</v>
      </c>
      <c r="BE18" s="74">
        <f t="shared" si="11"/>
        <v>0</v>
      </c>
      <c r="BF18" s="74">
        <f t="shared" si="9"/>
        <v>1</v>
      </c>
      <c r="BG18" s="74">
        <f t="shared" si="9"/>
        <v>1</v>
      </c>
      <c r="BH18" s="74">
        <f t="shared" si="9"/>
        <v>1</v>
      </c>
      <c r="BI18" s="74">
        <f t="shared" si="6"/>
        <v>0</v>
      </c>
      <c r="BJ18" s="74">
        <f t="shared" si="6"/>
        <v>0</v>
      </c>
      <c r="BK18" s="74">
        <f t="shared" si="6"/>
        <v>0</v>
      </c>
      <c r="BL18" s="74">
        <f t="shared" si="6"/>
        <v>0</v>
      </c>
      <c r="BM18" s="74">
        <f t="shared" si="6"/>
        <v>0</v>
      </c>
      <c r="BN18" s="74">
        <f t="shared" si="6"/>
        <v>0</v>
      </c>
      <c r="BO18" s="74">
        <f t="shared" si="6"/>
        <v>0</v>
      </c>
      <c r="BP18" s="74">
        <f t="shared" si="6"/>
        <v>0</v>
      </c>
      <c r="BQ18" s="74">
        <f t="shared" si="6"/>
        <v>0</v>
      </c>
      <c r="BR18" s="74">
        <f t="shared" si="6"/>
        <v>1</v>
      </c>
      <c r="BS18" s="74">
        <f t="shared" si="6"/>
        <v>1</v>
      </c>
      <c r="BT18" s="74">
        <f t="shared" si="6"/>
        <v>1</v>
      </c>
      <c r="BU18" s="74">
        <f>SUM(tblSOW8[[#This Row],[P1]:[P12]])</f>
        <v>3</v>
      </c>
      <c r="BV18" s="74">
        <f>IFERROR(VLOOKUP(H18,[30]Parameters!CK:CN,3,0),0)</f>
        <v>0</v>
      </c>
      <c r="BW18" s="74">
        <f>IFERROR(VLOOKUP(K18,[30]Parameters!BN:BW,10,0),0)</f>
        <v>827.44320670591105</v>
      </c>
      <c r="BX18" s="74">
        <f>SUM(tblSOW8[[#This Row],[Jan 2023 USD]:[Mar 2023 USD]])</f>
        <v>0</v>
      </c>
      <c r="BY18" s="74">
        <f>SUM(tblSOW8[[#This Row],[Apr 2023 USD]:[Jun 2023 USD]])</f>
        <v>0</v>
      </c>
      <c r="BZ18" s="74">
        <f>SUM(tblSOW8[[#This Row],[Jul 2023 USD]:[Sep 2023 USD]])</f>
        <v>0</v>
      </c>
      <c r="CA18" s="74">
        <f>SUM(tblSOW8[[#This Row],[Oct 2023 USD]:[Dec 2023 USD]])</f>
        <v>2482.3296201177332</v>
      </c>
    </row>
    <row r="19" spans="1:79" s="75" customFormat="1" ht="13.5" customHeight="1">
      <c r="A19" s="67" t="str">
        <f>CONCATENATE(INDEX([30]Parameters!$U$1:$V$20,MATCH(C19,[30]Parameters!$V$1:$V$20,0),1),"/",VLOOKUP(D19,[30]Parameters!$CG$1:$CH$12,2,0),".",E19,".",H19,".",LEFT(J19,3),"-",LEFT(K19,4))</f>
        <v>B20/20.P19.427.950-T109</v>
      </c>
      <c r="B19" s="67" t="s">
        <v>160</v>
      </c>
      <c r="C19" s="67" t="s">
        <v>158</v>
      </c>
      <c r="D19" s="111" t="s">
        <v>95</v>
      </c>
      <c r="E19" s="111" t="str">
        <f>VLOOKUP(F19,[30]Parameters!P:T,4,0)</f>
        <v>P19</v>
      </c>
      <c r="F19" s="111" t="s">
        <v>159</v>
      </c>
      <c r="G19" s="67"/>
      <c r="H19" s="44">
        <f>INDEX([30]Parameters!$B:$C,MATCH(I19,[30]Parameters!$C:$C,0),1)</f>
        <v>427</v>
      </c>
      <c r="I19" s="68" t="s">
        <v>104</v>
      </c>
      <c r="J19" s="68" t="s">
        <v>94</v>
      </c>
      <c r="K19" s="68" t="s">
        <v>105</v>
      </c>
      <c r="L19" s="68"/>
      <c r="M19" s="69"/>
      <c r="N19" s="119"/>
      <c r="O19" s="119"/>
      <c r="P19" s="72">
        <v>45200</v>
      </c>
      <c r="Q19" s="72">
        <v>45291</v>
      </c>
      <c r="R19" s="67"/>
      <c r="S19" s="67">
        <f t="shared" si="7"/>
        <v>3</v>
      </c>
      <c r="T19" s="68"/>
      <c r="U19" s="68"/>
      <c r="V19" s="68"/>
      <c r="W19" s="68" t="str">
        <f>IF(AND(ISNUMBER(SEARCH("-T",tblSOW8[[#This Row],[Budget Item]])),NOT(ISNUMBER(tblSOW8[[#This Row],[Task Units]]))),"Please Enter Task Units",
IF(AND(ISNUMBER(SEARCH("-E000",tblSOW8[[#This Row],[Budget Item]])),NOT(ISNUMBER(tblSOW8[[#This Row],[% work on project]]))),"Please Enter Organic FTE",
IF(AND(ISNUMBER(SEARCH("-E999",tblSOW8[[#This Row],[Budget Item]])),NOT(ISNUMBER(tblSOW8[[#This Row],[External Expenses/Revenues USD]]))),"Please Enter External Expenses",
"")))</f>
        <v>Please Enter Task Units</v>
      </c>
      <c r="X19" s="67">
        <f>SUM(tblSOW8[[#This Row],[Jan 2023 USD]:[Dec 2023 USD]])</f>
        <v>0</v>
      </c>
      <c r="Y19" s="74">
        <f>tblSOW8[[#This Row],[FTE Cost]]*tblSOW8[[#This Row],[% work on project]]*AK19/12+tblSOW8[[#This Row],[Task Cost]]*AW19+tblSOW8[[#This Row],[External Expenses/Revenues USD]]*BI19/tblSOW8[[#This Row],[Duration]]</f>
        <v>0</v>
      </c>
      <c r="Z19" s="74">
        <f>tblSOW8[[#This Row],[FTE Cost]]*tblSOW8[[#This Row],[% work on project]]*AL19/12+tblSOW8[[#This Row],[Task Cost]]*AX19+tblSOW8[[#This Row],[External Expenses/Revenues USD]]*BJ19/tblSOW8[[#This Row],[Duration]]</f>
        <v>0</v>
      </c>
      <c r="AA19" s="74">
        <f>tblSOW8[[#This Row],[FTE Cost]]*tblSOW8[[#This Row],[% work on project]]*AM19/12+tblSOW8[[#This Row],[Task Cost]]*AY19+tblSOW8[[#This Row],[External Expenses/Revenues USD]]*BK19/tblSOW8[[#This Row],[Duration]]</f>
        <v>0</v>
      </c>
      <c r="AB19" s="74">
        <f>tblSOW8[[#This Row],[FTE Cost]]*tblSOW8[[#This Row],[% work on project]]*AN19/12+tblSOW8[[#This Row],[Task Cost]]*AZ19+tblSOW8[[#This Row],[External Expenses/Revenues USD]]*BL19/tblSOW8[[#This Row],[Duration]]</f>
        <v>0</v>
      </c>
      <c r="AC19" s="74">
        <f>tblSOW8[[#This Row],[FTE Cost]]*tblSOW8[[#This Row],[% work on project]]*AO19/12+tblSOW8[[#This Row],[Task Cost]]*BA19+tblSOW8[[#This Row],[External Expenses/Revenues USD]]*BM19/tblSOW8[[#This Row],[Duration]]</f>
        <v>0</v>
      </c>
      <c r="AD19" s="74">
        <f>tblSOW8[[#This Row],[FTE Cost]]*tblSOW8[[#This Row],[% work on project]]*AP19/12+tblSOW8[[#This Row],[Task Cost]]*BB19+tblSOW8[[#This Row],[External Expenses/Revenues USD]]*BN19/tblSOW8[[#This Row],[Duration]]</f>
        <v>0</v>
      </c>
      <c r="AE19" s="74">
        <f>tblSOW8[[#This Row],[FTE Cost]]*tblSOW8[[#This Row],[% work on project]]*AQ19/12+tblSOW8[[#This Row],[Task Cost]]*BC19+tblSOW8[[#This Row],[External Expenses/Revenues USD]]*BO19/tblSOW8[[#This Row],[Duration]]</f>
        <v>0</v>
      </c>
      <c r="AF19" s="74">
        <f>tblSOW8[[#This Row],[FTE Cost]]*tblSOW8[[#This Row],[% work on project]]*AR19/12+tblSOW8[[#This Row],[Task Cost]]*BD19+tblSOW8[[#This Row],[External Expenses/Revenues USD]]*BP19/tblSOW8[[#This Row],[Duration]]</f>
        <v>0</v>
      </c>
      <c r="AG19" s="74">
        <f>tblSOW8[[#This Row],[FTE Cost]]*tblSOW8[[#This Row],[% work on project]]*AS19/12+tblSOW8[[#This Row],[Task Cost]]*BE19+tblSOW8[[#This Row],[External Expenses/Revenues USD]]*BQ19/tblSOW8[[#This Row],[Duration]]</f>
        <v>0</v>
      </c>
      <c r="AH19" s="74">
        <f>tblSOW8[[#This Row],[FTE Cost]]*tblSOW8[[#This Row],[% work on project]]*AT19/12+tblSOW8[[#This Row],[Task Cost]]*BF19+tblSOW8[[#This Row],[External Expenses/Revenues USD]]*BR19/tblSOW8[[#This Row],[Duration]]</f>
        <v>0</v>
      </c>
      <c r="AI19" s="74">
        <f>tblSOW8[[#This Row],[FTE Cost]]*tblSOW8[[#This Row],[% work on project]]*AU19/12+tblSOW8[[#This Row],[Task Cost]]*BG19+tblSOW8[[#This Row],[External Expenses/Revenues USD]]*BS19/tblSOW8[[#This Row],[Duration]]</f>
        <v>0</v>
      </c>
      <c r="AJ19" s="74">
        <f>tblSOW8[[#This Row],[FTE Cost]]*tblSOW8[[#This Row],[% work on project]]*AV19/12+tblSOW8[[#This Row],[Task Cost]]*BH19+tblSOW8[[#This Row],[External Expenses/Revenues USD]]*BT19/tblSOW8[[#This Row],[Duration]]</f>
        <v>0</v>
      </c>
      <c r="AK19" s="74">
        <f t="shared" si="10"/>
        <v>0</v>
      </c>
      <c r="AL19" s="74">
        <f t="shared" si="10"/>
        <v>0</v>
      </c>
      <c r="AM19" s="74">
        <f t="shared" si="10"/>
        <v>0</v>
      </c>
      <c r="AN19" s="74">
        <f t="shared" si="10"/>
        <v>0</v>
      </c>
      <c r="AO19" s="74">
        <f t="shared" si="10"/>
        <v>0</v>
      </c>
      <c r="AP19" s="74">
        <f t="shared" si="10"/>
        <v>0</v>
      </c>
      <c r="AQ19" s="74">
        <f t="shared" si="10"/>
        <v>0</v>
      </c>
      <c r="AR19" s="74">
        <f t="shared" si="10"/>
        <v>0</v>
      </c>
      <c r="AS19" s="74">
        <f t="shared" si="10"/>
        <v>0</v>
      </c>
      <c r="AT19" s="74">
        <f t="shared" si="8"/>
        <v>1</v>
      </c>
      <c r="AU19" s="74">
        <f t="shared" si="8"/>
        <v>1</v>
      </c>
      <c r="AV19" s="74">
        <f t="shared" si="8"/>
        <v>1</v>
      </c>
      <c r="AW19" s="74">
        <f t="shared" si="11"/>
        <v>0</v>
      </c>
      <c r="AX19" s="74">
        <f t="shared" si="11"/>
        <v>0</v>
      </c>
      <c r="AY19" s="74">
        <f t="shared" si="11"/>
        <v>0</v>
      </c>
      <c r="AZ19" s="74">
        <f t="shared" si="11"/>
        <v>0</v>
      </c>
      <c r="BA19" s="74">
        <f t="shared" si="11"/>
        <v>0</v>
      </c>
      <c r="BB19" s="74">
        <f t="shared" si="11"/>
        <v>0</v>
      </c>
      <c r="BC19" s="74">
        <f t="shared" si="11"/>
        <v>0</v>
      </c>
      <c r="BD19" s="74">
        <f t="shared" si="11"/>
        <v>0</v>
      </c>
      <c r="BE19" s="74">
        <f t="shared" si="11"/>
        <v>0</v>
      </c>
      <c r="BF19" s="74">
        <f t="shared" si="9"/>
        <v>0</v>
      </c>
      <c r="BG19" s="74">
        <f t="shared" si="9"/>
        <v>0</v>
      </c>
      <c r="BH19" s="74">
        <f t="shared" si="9"/>
        <v>0</v>
      </c>
      <c r="BI19" s="74">
        <f t="shared" si="6"/>
        <v>0</v>
      </c>
      <c r="BJ19" s="74">
        <f t="shared" si="6"/>
        <v>0</v>
      </c>
      <c r="BK19" s="74">
        <f t="shared" si="6"/>
        <v>0</v>
      </c>
      <c r="BL19" s="74">
        <f t="shared" si="6"/>
        <v>0</v>
      </c>
      <c r="BM19" s="74">
        <f t="shared" si="6"/>
        <v>0</v>
      </c>
      <c r="BN19" s="74">
        <f t="shared" si="6"/>
        <v>0</v>
      </c>
      <c r="BO19" s="74">
        <f t="shared" si="6"/>
        <v>0</v>
      </c>
      <c r="BP19" s="74">
        <f t="shared" si="6"/>
        <v>0</v>
      </c>
      <c r="BQ19" s="74">
        <f t="shared" si="6"/>
        <v>0</v>
      </c>
      <c r="BR19" s="74">
        <f t="shared" si="6"/>
        <v>1</v>
      </c>
      <c r="BS19" s="74">
        <f t="shared" si="6"/>
        <v>1</v>
      </c>
      <c r="BT19" s="74">
        <f t="shared" si="6"/>
        <v>1</v>
      </c>
      <c r="BU19" s="74">
        <f>SUM(tblSOW8[[#This Row],[P1]:[P12]])</f>
        <v>3</v>
      </c>
      <c r="BV19" s="74">
        <f>IFERROR(VLOOKUP(H19,[30]Parameters!CK:CN,3,0),0)</f>
        <v>0</v>
      </c>
      <c r="BW19" s="74">
        <f>IFERROR(VLOOKUP(K19,[30]Parameters!BN:BW,10,0),0)</f>
        <v>827.44320670591105</v>
      </c>
      <c r="BX19" s="74">
        <f>SUM(tblSOW8[[#This Row],[Jan 2023 USD]:[Mar 2023 USD]])</f>
        <v>0</v>
      </c>
      <c r="BY19" s="74">
        <f>SUM(tblSOW8[[#This Row],[Apr 2023 USD]:[Jun 2023 USD]])</f>
        <v>0</v>
      </c>
      <c r="BZ19" s="74">
        <f>SUM(tblSOW8[[#This Row],[Jul 2023 USD]:[Sep 2023 USD]])</f>
        <v>0</v>
      </c>
      <c r="CA19" s="74">
        <f>SUM(tblSOW8[[#This Row],[Oct 2023 USD]:[Dec 2023 USD]])</f>
        <v>0</v>
      </c>
    </row>
    <row r="20" spans="1:79" s="75" customFormat="1" ht="13.5" customHeight="1">
      <c r="A20" s="67" t="str">
        <f>CONCATENATE(INDEX([30]Parameters!$U$1:$V$20,MATCH(C20,[30]Parameters!$V$1:$V$20,0),1),"/",VLOOKUP(D20,[30]Parameters!$CG$1:$CH$12,2,0),".",E20,".",H20,".",LEFT(J20,3),"-",LEFT(K20,4))</f>
        <v>B20/20.P192.405.950-T103</v>
      </c>
      <c r="B20" s="67" t="s">
        <v>160</v>
      </c>
      <c r="C20" s="67" t="s">
        <v>158</v>
      </c>
      <c r="D20" s="111" t="s">
        <v>95</v>
      </c>
      <c r="E20" s="111" t="str">
        <f>VLOOKUP(F20,[30]Parameters!P:T,4,0)</f>
        <v>P192</v>
      </c>
      <c r="F20" s="111" t="s">
        <v>163</v>
      </c>
      <c r="G20" s="67"/>
      <c r="H20" s="44">
        <f>INDEX([30]Parameters!$B:$C,MATCH(I20,[30]Parameters!$C:$C,0),1)</f>
        <v>405</v>
      </c>
      <c r="I20" s="68" t="s">
        <v>98</v>
      </c>
      <c r="J20" s="68" t="s">
        <v>94</v>
      </c>
      <c r="K20" s="68" t="s">
        <v>99</v>
      </c>
      <c r="L20" s="68"/>
      <c r="M20" s="69"/>
      <c r="N20" s="119"/>
      <c r="O20" s="119"/>
      <c r="P20" s="72">
        <v>44927</v>
      </c>
      <c r="Q20" s="72">
        <v>45016</v>
      </c>
      <c r="R20" s="67"/>
      <c r="S20" s="67">
        <f t="shared" si="7"/>
        <v>3</v>
      </c>
      <c r="T20" s="68"/>
      <c r="U20" s="68">
        <v>5</v>
      </c>
      <c r="V20" s="68"/>
      <c r="W20" s="68" t="str">
        <f>IF(AND(ISNUMBER(SEARCH("-T",tblSOW8[[#This Row],[Budget Item]])),NOT(ISNUMBER(tblSOW8[[#This Row],[Task Units]]))),"Please Enter Task Units",
IF(AND(ISNUMBER(SEARCH("-E000",tblSOW8[[#This Row],[Budget Item]])),NOT(ISNUMBER(tblSOW8[[#This Row],[% work on project]]))),"Please Enter Organic FTE",
IF(AND(ISNUMBER(SEARCH("-E999",tblSOW8[[#This Row],[Budget Item]])),NOT(ISNUMBER(tblSOW8[[#This Row],[External Expenses/Revenues USD]]))),"Please Enter External Expenses",
"")))</f>
        <v/>
      </c>
      <c r="X20" s="67">
        <f>SUM(tblSOW8[[#This Row],[Jan 2023 USD]:[Dec 2023 USD]])</f>
        <v>4272.2782855302958</v>
      </c>
      <c r="Y20" s="74">
        <f>tblSOW8[[#This Row],[FTE Cost]]*tblSOW8[[#This Row],[% work on project]]*AK20/12+tblSOW8[[#This Row],[Task Cost]]*AW20+tblSOW8[[#This Row],[External Expenses/Revenues USD]]*BI20/tblSOW8[[#This Row],[Duration]]</f>
        <v>1424.0927618434321</v>
      </c>
      <c r="Z20" s="74">
        <f>tblSOW8[[#This Row],[FTE Cost]]*tblSOW8[[#This Row],[% work on project]]*AL20/12+tblSOW8[[#This Row],[Task Cost]]*AX20+tblSOW8[[#This Row],[External Expenses/Revenues USD]]*BJ20/tblSOW8[[#This Row],[Duration]]</f>
        <v>1424.0927618434321</v>
      </c>
      <c r="AA20" s="74">
        <f>tblSOW8[[#This Row],[FTE Cost]]*tblSOW8[[#This Row],[% work on project]]*AM20/12+tblSOW8[[#This Row],[Task Cost]]*AY20+tblSOW8[[#This Row],[External Expenses/Revenues USD]]*BK20/tblSOW8[[#This Row],[Duration]]</f>
        <v>1424.0927618434321</v>
      </c>
      <c r="AB20" s="74">
        <f>tblSOW8[[#This Row],[FTE Cost]]*tblSOW8[[#This Row],[% work on project]]*AN20/12+tblSOW8[[#This Row],[Task Cost]]*AZ20+tblSOW8[[#This Row],[External Expenses/Revenues USD]]*BL20/tblSOW8[[#This Row],[Duration]]</f>
        <v>0</v>
      </c>
      <c r="AC20" s="74">
        <f>tblSOW8[[#This Row],[FTE Cost]]*tblSOW8[[#This Row],[% work on project]]*AO20/12+tblSOW8[[#This Row],[Task Cost]]*BA20+tblSOW8[[#This Row],[External Expenses/Revenues USD]]*BM20/tblSOW8[[#This Row],[Duration]]</f>
        <v>0</v>
      </c>
      <c r="AD20" s="74">
        <f>tblSOW8[[#This Row],[FTE Cost]]*tblSOW8[[#This Row],[% work on project]]*AP20/12+tblSOW8[[#This Row],[Task Cost]]*BB20+tblSOW8[[#This Row],[External Expenses/Revenues USD]]*BN20/tblSOW8[[#This Row],[Duration]]</f>
        <v>0</v>
      </c>
      <c r="AE20" s="74">
        <f>tblSOW8[[#This Row],[FTE Cost]]*tblSOW8[[#This Row],[% work on project]]*AQ20/12+tblSOW8[[#This Row],[Task Cost]]*BC20+tblSOW8[[#This Row],[External Expenses/Revenues USD]]*BO20/tblSOW8[[#This Row],[Duration]]</f>
        <v>0</v>
      </c>
      <c r="AF20" s="74">
        <f>tblSOW8[[#This Row],[FTE Cost]]*tblSOW8[[#This Row],[% work on project]]*AR20/12+tblSOW8[[#This Row],[Task Cost]]*BD20+tblSOW8[[#This Row],[External Expenses/Revenues USD]]*BP20/tblSOW8[[#This Row],[Duration]]</f>
        <v>0</v>
      </c>
      <c r="AG20" s="74">
        <f>tblSOW8[[#This Row],[FTE Cost]]*tblSOW8[[#This Row],[% work on project]]*AS20/12+tblSOW8[[#This Row],[Task Cost]]*BE20+tblSOW8[[#This Row],[External Expenses/Revenues USD]]*BQ20/tblSOW8[[#This Row],[Duration]]</f>
        <v>0</v>
      </c>
      <c r="AH20" s="74">
        <f>tblSOW8[[#This Row],[FTE Cost]]*tblSOW8[[#This Row],[% work on project]]*AT20/12+tblSOW8[[#This Row],[Task Cost]]*BF20+tblSOW8[[#This Row],[External Expenses/Revenues USD]]*BR20/tblSOW8[[#This Row],[Duration]]</f>
        <v>0</v>
      </c>
      <c r="AI20" s="74">
        <f>tblSOW8[[#This Row],[FTE Cost]]*tblSOW8[[#This Row],[% work on project]]*AU20/12+tblSOW8[[#This Row],[Task Cost]]*BG20+tblSOW8[[#This Row],[External Expenses/Revenues USD]]*BS20/tblSOW8[[#This Row],[Duration]]</f>
        <v>0</v>
      </c>
      <c r="AJ20" s="74">
        <f>tblSOW8[[#This Row],[FTE Cost]]*tblSOW8[[#This Row],[% work on project]]*AV20/12+tblSOW8[[#This Row],[Task Cost]]*BH20+tblSOW8[[#This Row],[External Expenses/Revenues USD]]*BT20/tblSOW8[[#This Row],[Duration]]</f>
        <v>0</v>
      </c>
      <c r="AK20" s="74">
        <f t="shared" si="10"/>
        <v>1</v>
      </c>
      <c r="AL20" s="74">
        <f t="shared" si="10"/>
        <v>1</v>
      </c>
      <c r="AM20" s="74">
        <f t="shared" si="10"/>
        <v>1</v>
      </c>
      <c r="AN20" s="74">
        <f t="shared" si="10"/>
        <v>0</v>
      </c>
      <c r="AO20" s="74">
        <f t="shared" si="10"/>
        <v>0</v>
      </c>
      <c r="AP20" s="74">
        <f t="shared" si="10"/>
        <v>0</v>
      </c>
      <c r="AQ20" s="74">
        <f t="shared" si="10"/>
        <v>0</v>
      </c>
      <c r="AR20" s="74">
        <f t="shared" si="10"/>
        <v>0</v>
      </c>
      <c r="AS20" s="74">
        <f t="shared" si="10"/>
        <v>0</v>
      </c>
      <c r="AT20" s="74">
        <f t="shared" si="8"/>
        <v>0</v>
      </c>
      <c r="AU20" s="74">
        <f t="shared" si="8"/>
        <v>0</v>
      </c>
      <c r="AV20" s="74">
        <f t="shared" si="8"/>
        <v>0</v>
      </c>
      <c r="AW20" s="74">
        <f t="shared" si="11"/>
        <v>1.6666666666666667</v>
      </c>
      <c r="AX20" s="74">
        <f t="shared" si="11"/>
        <v>1.6666666666666667</v>
      </c>
      <c r="AY20" s="74">
        <f t="shared" si="11"/>
        <v>1.6666666666666667</v>
      </c>
      <c r="AZ20" s="74">
        <f t="shared" si="11"/>
        <v>0</v>
      </c>
      <c r="BA20" s="74">
        <f t="shared" si="11"/>
        <v>0</v>
      </c>
      <c r="BB20" s="74">
        <f t="shared" si="11"/>
        <v>0</v>
      </c>
      <c r="BC20" s="74">
        <f t="shared" si="11"/>
        <v>0</v>
      </c>
      <c r="BD20" s="74">
        <f t="shared" si="11"/>
        <v>0</v>
      </c>
      <c r="BE20" s="74">
        <f t="shared" si="11"/>
        <v>0</v>
      </c>
      <c r="BF20" s="74">
        <f t="shared" si="9"/>
        <v>0</v>
      </c>
      <c r="BG20" s="74">
        <f t="shared" si="9"/>
        <v>0</v>
      </c>
      <c r="BH20" s="74">
        <f t="shared" si="9"/>
        <v>0</v>
      </c>
      <c r="BI20" s="74">
        <f t="shared" si="6"/>
        <v>1</v>
      </c>
      <c r="BJ20" s="74">
        <f t="shared" si="6"/>
        <v>1</v>
      </c>
      <c r="BK20" s="74">
        <f t="shared" si="6"/>
        <v>1</v>
      </c>
      <c r="BL20" s="74">
        <f t="shared" si="6"/>
        <v>0</v>
      </c>
      <c r="BM20" s="74">
        <f t="shared" si="6"/>
        <v>0</v>
      </c>
      <c r="BN20" s="74">
        <f t="shared" si="6"/>
        <v>0</v>
      </c>
      <c r="BO20" s="74">
        <f t="shared" si="6"/>
        <v>0</v>
      </c>
      <c r="BP20" s="74">
        <f t="shared" si="6"/>
        <v>0</v>
      </c>
      <c r="BQ20" s="74">
        <f t="shared" si="6"/>
        <v>0</v>
      </c>
      <c r="BR20" s="74">
        <f t="shared" si="6"/>
        <v>0</v>
      </c>
      <c r="BS20" s="74">
        <f t="shared" si="6"/>
        <v>0</v>
      </c>
      <c r="BT20" s="74">
        <f t="shared" si="6"/>
        <v>0</v>
      </c>
      <c r="BU20" s="74">
        <f>SUM(tblSOW8[[#This Row],[P1]:[P12]])</f>
        <v>3</v>
      </c>
      <c r="BV20" s="74">
        <f>IFERROR(VLOOKUP(H20,[30]Parameters!CK:CN,3,0),0)</f>
        <v>0</v>
      </c>
      <c r="BW20" s="74">
        <f>IFERROR(VLOOKUP(K20,[30]Parameters!BN:BW,10,0),0)</f>
        <v>854.45565710605922</v>
      </c>
      <c r="BX20" s="74">
        <f>SUM(tblSOW8[[#This Row],[Jan 2023 USD]:[Mar 2023 USD]])</f>
        <v>4272.2782855302958</v>
      </c>
      <c r="BY20" s="74">
        <f>SUM(tblSOW8[[#This Row],[Apr 2023 USD]:[Jun 2023 USD]])</f>
        <v>0</v>
      </c>
      <c r="BZ20" s="74">
        <f>SUM(tblSOW8[[#This Row],[Jul 2023 USD]:[Sep 2023 USD]])</f>
        <v>0</v>
      </c>
      <c r="CA20" s="74">
        <f>SUM(tblSOW8[[#This Row],[Oct 2023 USD]:[Dec 2023 USD]])</f>
        <v>0</v>
      </c>
    </row>
    <row r="21" spans="1:79" s="75" customFormat="1" ht="13.5" customHeight="1">
      <c r="A21" s="67" t="str">
        <f>CONCATENATE(INDEX([30]Parameters!$U$1:$V$20,MATCH(C21,[30]Parameters!$V$1:$V$20,0),1),"/",VLOOKUP(D21,[30]Parameters!$CG$1:$CH$12,2,0),".",E21,".",H21,".",LEFT(J21,3),"-",LEFT(K21,4))</f>
        <v>B20/20.P145.405.950-T103</v>
      </c>
      <c r="B21" s="67" t="s">
        <v>160</v>
      </c>
      <c r="C21" s="67" t="s">
        <v>158</v>
      </c>
      <c r="D21" s="111" t="s">
        <v>95</v>
      </c>
      <c r="E21" s="111" t="str">
        <f>VLOOKUP(F21,[30]Parameters!P:T,4,0)</f>
        <v>P145</v>
      </c>
      <c r="F21" s="111" t="s">
        <v>161</v>
      </c>
      <c r="G21" s="67"/>
      <c r="H21" s="44">
        <f>INDEX([30]Parameters!$B:$C,MATCH(I21,[30]Parameters!$C:$C,0),1)</f>
        <v>405</v>
      </c>
      <c r="I21" s="68" t="s">
        <v>98</v>
      </c>
      <c r="J21" s="68" t="s">
        <v>94</v>
      </c>
      <c r="K21" s="68" t="s">
        <v>99</v>
      </c>
      <c r="L21" s="68"/>
      <c r="M21" s="69"/>
      <c r="N21" s="119"/>
      <c r="O21" s="119"/>
      <c r="P21" s="72">
        <v>44927</v>
      </c>
      <c r="Q21" s="72">
        <v>45016</v>
      </c>
      <c r="R21" s="67"/>
      <c r="S21" s="67">
        <f t="shared" si="7"/>
        <v>3</v>
      </c>
      <c r="T21" s="68"/>
      <c r="U21" s="68">
        <v>0</v>
      </c>
      <c r="V21" s="68">
        <v>0</v>
      </c>
      <c r="W21" s="68" t="str">
        <f>IF(AND(ISNUMBER(SEARCH("-T",tblSOW8[[#This Row],[Budget Item]])),NOT(ISNUMBER(tblSOW8[[#This Row],[Task Units]]))),"Please Enter Task Units",
IF(AND(ISNUMBER(SEARCH("-E000",tblSOW8[[#This Row],[Budget Item]])),NOT(ISNUMBER(tblSOW8[[#This Row],[% work on project]]))),"Please Enter Organic FTE",
IF(AND(ISNUMBER(SEARCH("-E999",tblSOW8[[#This Row],[Budget Item]])),NOT(ISNUMBER(tblSOW8[[#This Row],[External Expenses/Revenues USD]]))),"Please Enter External Expenses",
"")))</f>
        <v/>
      </c>
      <c r="X21" s="67">
        <f>SUM(tblSOW8[[#This Row],[Jan 2023 USD]:[Dec 2023 USD]])</f>
        <v>0</v>
      </c>
      <c r="Y21" s="74">
        <f>tblSOW8[[#This Row],[FTE Cost]]*tblSOW8[[#This Row],[% work on project]]*AK21/12+tblSOW8[[#This Row],[Task Cost]]*AW21+tblSOW8[[#This Row],[External Expenses/Revenues USD]]*BI21/tblSOW8[[#This Row],[Duration]]</f>
        <v>0</v>
      </c>
      <c r="Z21" s="74">
        <f>tblSOW8[[#This Row],[FTE Cost]]*tblSOW8[[#This Row],[% work on project]]*AL21/12+tblSOW8[[#This Row],[Task Cost]]*AX21+tblSOW8[[#This Row],[External Expenses/Revenues USD]]*BJ21/tblSOW8[[#This Row],[Duration]]</f>
        <v>0</v>
      </c>
      <c r="AA21" s="74">
        <f>tblSOW8[[#This Row],[FTE Cost]]*tblSOW8[[#This Row],[% work on project]]*AM21/12+tblSOW8[[#This Row],[Task Cost]]*AY21+tblSOW8[[#This Row],[External Expenses/Revenues USD]]*BK21/tblSOW8[[#This Row],[Duration]]</f>
        <v>0</v>
      </c>
      <c r="AB21" s="74">
        <f>tblSOW8[[#This Row],[FTE Cost]]*tblSOW8[[#This Row],[% work on project]]*AN21/12+tblSOW8[[#This Row],[Task Cost]]*AZ21+tblSOW8[[#This Row],[External Expenses/Revenues USD]]*BL21/tblSOW8[[#This Row],[Duration]]</f>
        <v>0</v>
      </c>
      <c r="AC21" s="74">
        <f>tblSOW8[[#This Row],[FTE Cost]]*tblSOW8[[#This Row],[% work on project]]*AO21/12+tblSOW8[[#This Row],[Task Cost]]*BA21+tblSOW8[[#This Row],[External Expenses/Revenues USD]]*BM21/tblSOW8[[#This Row],[Duration]]</f>
        <v>0</v>
      </c>
      <c r="AD21" s="74">
        <f>tblSOW8[[#This Row],[FTE Cost]]*tblSOW8[[#This Row],[% work on project]]*AP21/12+tblSOW8[[#This Row],[Task Cost]]*BB21+tblSOW8[[#This Row],[External Expenses/Revenues USD]]*BN21/tblSOW8[[#This Row],[Duration]]</f>
        <v>0</v>
      </c>
      <c r="AE21" s="74">
        <f>tblSOW8[[#This Row],[FTE Cost]]*tblSOW8[[#This Row],[% work on project]]*AQ21/12+tblSOW8[[#This Row],[Task Cost]]*BC21+tblSOW8[[#This Row],[External Expenses/Revenues USD]]*BO21/tblSOW8[[#This Row],[Duration]]</f>
        <v>0</v>
      </c>
      <c r="AF21" s="74">
        <f>tblSOW8[[#This Row],[FTE Cost]]*tblSOW8[[#This Row],[% work on project]]*AR21/12+tblSOW8[[#This Row],[Task Cost]]*BD21+tblSOW8[[#This Row],[External Expenses/Revenues USD]]*BP21/tblSOW8[[#This Row],[Duration]]</f>
        <v>0</v>
      </c>
      <c r="AG21" s="74">
        <f>tblSOW8[[#This Row],[FTE Cost]]*tblSOW8[[#This Row],[% work on project]]*AS21/12+tblSOW8[[#This Row],[Task Cost]]*BE21+tblSOW8[[#This Row],[External Expenses/Revenues USD]]*BQ21/tblSOW8[[#This Row],[Duration]]</f>
        <v>0</v>
      </c>
      <c r="AH21" s="74">
        <f>tblSOW8[[#This Row],[FTE Cost]]*tblSOW8[[#This Row],[% work on project]]*AT21/12+tblSOW8[[#This Row],[Task Cost]]*BF21+tblSOW8[[#This Row],[External Expenses/Revenues USD]]*BR21/tblSOW8[[#This Row],[Duration]]</f>
        <v>0</v>
      </c>
      <c r="AI21" s="74">
        <f>tblSOW8[[#This Row],[FTE Cost]]*tblSOW8[[#This Row],[% work on project]]*AU21/12+tblSOW8[[#This Row],[Task Cost]]*BG21+tblSOW8[[#This Row],[External Expenses/Revenues USD]]*BS21/tblSOW8[[#This Row],[Duration]]</f>
        <v>0</v>
      </c>
      <c r="AJ21" s="74">
        <f>tblSOW8[[#This Row],[FTE Cost]]*tblSOW8[[#This Row],[% work on project]]*AV21/12+tblSOW8[[#This Row],[Task Cost]]*BH21+tblSOW8[[#This Row],[External Expenses/Revenues USD]]*BT21/tblSOW8[[#This Row],[Duration]]</f>
        <v>0</v>
      </c>
      <c r="AK21" s="74">
        <f t="shared" si="10"/>
        <v>1</v>
      </c>
      <c r="AL21" s="74">
        <f t="shared" si="10"/>
        <v>1</v>
      </c>
      <c r="AM21" s="74">
        <f t="shared" si="10"/>
        <v>1</v>
      </c>
      <c r="AN21" s="74">
        <f t="shared" si="10"/>
        <v>0</v>
      </c>
      <c r="AO21" s="74">
        <f t="shared" si="10"/>
        <v>0</v>
      </c>
      <c r="AP21" s="74">
        <f t="shared" si="10"/>
        <v>0</v>
      </c>
      <c r="AQ21" s="74">
        <f t="shared" si="10"/>
        <v>0</v>
      </c>
      <c r="AR21" s="74">
        <f t="shared" si="10"/>
        <v>0</v>
      </c>
      <c r="AS21" s="74">
        <f t="shared" si="10"/>
        <v>0</v>
      </c>
      <c r="AT21" s="74">
        <f t="shared" si="8"/>
        <v>0</v>
      </c>
      <c r="AU21" s="74">
        <f t="shared" si="8"/>
        <v>0</v>
      </c>
      <c r="AV21" s="74">
        <f t="shared" si="8"/>
        <v>0</v>
      </c>
      <c r="AW21" s="74">
        <f t="shared" si="11"/>
        <v>0</v>
      </c>
      <c r="AX21" s="74">
        <f t="shared" si="11"/>
        <v>0</v>
      </c>
      <c r="AY21" s="74">
        <f t="shared" si="11"/>
        <v>0</v>
      </c>
      <c r="AZ21" s="74">
        <f t="shared" si="11"/>
        <v>0</v>
      </c>
      <c r="BA21" s="74">
        <f t="shared" si="11"/>
        <v>0</v>
      </c>
      <c r="BB21" s="74">
        <f t="shared" si="11"/>
        <v>0</v>
      </c>
      <c r="BC21" s="74">
        <f t="shared" si="11"/>
        <v>0</v>
      </c>
      <c r="BD21" s="74">
        <f t="shared" si="11"/>
        <v>0</v>
      </c>
      <c r="BE21" s="74">
        <f t="shared" si="11"/>
        <v>0</v>
      </c>
      <c r="BF21" s="74">
        <f t="shared" si="9"/>
        <v>0</v>
      </c>
      <c r="BG21" s="74">
        <f t="shared" si="9"/>
        <v>0</v>
      </c>
      <c r="BH21" s="74">
        <f t="shared" si="9"/>
        <v>0</v>
      </c>
      <c r="BI21" s="74">
        <f t="shared" ref="BI21:BT35" si="12">IF($S21&gt;0,IF(AND(MONTH($P21)&lt;=BI$1,MONTH($Q21)&gt;=BI$1),1,0),0)</f>
        <v>1</v>
      </c>
      <c r="BJ21" s="74">
        <f t="shared" si="12"/>
        <v>1</v>
      </c>
      <c r="BK21" s="74">
        <f t="shared" si="12"/>
        <v>1</v>
      </c>
      <c r="BL21" s="74">
        <f t="shared" si="12"/>
        <v>0</v>
      </c>
      <c r="BM21" s="74">
        <f t="shared" si="12"/>
        <v>0</v>
      </c>
      <c r="BN21" s="74">
        <f t="shared" si="12"/>
        <v>0</v>
      </c>
      <c r="BO21" s="74">
        <f t="shared" si="12"/>
        <v>0</v>
      </c>
      <c r="BP21" s="74">
        <f t="shared" si="12"/>
        <v>0</v>
      </c>
      <c r="BQ21" s="74">
        <f t="shared" si="12"/>
        <v>0</v>
      </c>
      <c r="BR21" s="74">
        <f t="shared" si="12"/>
        <v>0</v>
      </c>
      <c r="BS21" s="74">
        <f t="shared" si="12"/>
        <v>0</v>
      </c>
      <c r="BT21" s="74">
        <f t="shared" si="12"/>
        <v>0</v>
      </c>
      <c r="BU21" s="74">
        <f>SUM(tblSOW8[[#This Row],[P1]:[P12]])</f>
        <v>3</v>
      </c>
      <c r="BV21" s="74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21" s="74">
        <f>IFERROR(VLOOKUP(K21,[30]Parameters!BN:BW,10,0),0)</f>
        <v>854.45565710605922</v>
      </c>
      <c r="BX21" s="74">
        <f>SUM(tblSOW8[[#This Row],[Jan 2023 USD]:[Mar 2023 USD]])</f>
        <v>0</v>
      </c>
      <c r="BY21" s="74">
        <f>SUM(tblSOW8[[#This Row],[Apr 2023 USD]:[Jun 2023 USD]])</f>
        <v>0</v>
      </c>
      <c r="BZ21" s="74">
        <f>SUM(tblSOW8[[#This Row],[Jul 2023 USD]:[Sep 2023 USD]])</f>
        <v>0</v>
      </c>
      <c r="CA21" s="74">
        <f>SUM(tblSOW8[[#This Row],[Oct 2023 USD]:[Dec 2023 USD]])</f>
        <v>0</v>
      </c>
    </row>
    <row r="22" spans="1:79" s="75" customFormat="1" ht="13.5" customHeight="1">
      <c r="A22" s="67" t="str">
        <f>CONCATENATE(INDEX([30]Parameters!$U$1:$V$20,MATCH(C22,[30]Parameters!$V$1:$V$20,0),1),"/",VLOOKUP(D22,[30]Parameters!$CG$1:$CH$12,2,0),".",E22,".",H22,".",LEFT(J22,3),"-",LEFT(K22,4))</f>
        <v>B20/20.P82.405.950-T103</v>
      </c>
      <c r="B22" s="67" t="s">
        <v>160</v>
      </c>
      <c r="C22" s="67" t="s">
        <v>158</v>
      </c>
      <c r="D22" s="111" t="s">
        <v>95</v>
      </c>
      <c r="E22" s="111" t="str">
        <f>VLOOKUP(F22,[30]Parameters!P:T,4,0)</f>
        <v>P82</v>
      </c>
      <c r="F22" s="111" t="s">
        <v>162</v>
      </c>
      <c r="G22" s="67"/>
      <c r="H22" s="44">
        <f>INDEX([30]Parameters!$B:$C,MATCH(I22,[30]Parameters!$C:$C,0),1)</f>
        <v>405</v>
      </c>
      <c r="I22" s="68" t="s">
        <v>98</v>
      </c>
      <c r="J22" s="68" t="s">
        <v>94</v>
      </c>
      <c r="K22" s="68" t="s">
        <v>99</v>
      </c>
      <c r="L22" s="68"/>
      <c r="M22" s="69"/>
      <c r="N22" s="119"/>
      <c r="O22" s="119"/>
      <c r="P22" s="72">
        <v>44927</v>
      </c>
      <c r="Q22" s="72">
        <v>45016</v>
      </c>
      <c r="R22" s="67"/>
      <c r="S22" s="67">
        <f t="shared" si="7"/>
        <v>3</v>
      </c>
      <c r="T22" s="68"/>
      <c r="U22" s="68">
        <v>9.5</v>
      </c>
      <c r="V22" s="68">
        <v>0</v>
      </c>
      <c r="W22" s="68" t="str">
        <f>IF(AND(ISNUMBER(SEARCH("-T",tblSOW8[[#This Row],[Budget Item]])),NOT(ISNUMBER(tblSOW8[[#This Row],[Task Units]]))),"Please Enter Task Units",
IF(AND(ISNUMBER(SEARCH("-E000",tblSOW8[[#This Row],[Budget Item]])),NOT(ISNUMBER(tblSOW8[[#This Row],[% work on project]]))),"Please Enter Organic FTE",
IF(AND(ISNUMBER(SEARCH("-E999",tblSOW8[[#This Row],[Budget Item]])),NOT(ISNUMBER(tblSOW8[[#This Row],[External Expenses/Revenues USD]]))),"Please Enter External Expenses",
"")))</f>
        <v/>
      </c>
      <c r="X22" s="67">
        <f>SUM(tblSOW8[[#This Row],[Jan 2023 USD]:[Dec 2023 USD]])</f>
        <v>8117.3287425075614</v>
      </c>
      <c r="Y22" s="74">
        <f>tblSOW8[[#This Row],[FTE Cost]]*tblSOW8[[#This Row],[% work on project]]*AK22/12+tblSOW8[[#This Row],[Task Cost]]*AW22+tblSOW8[[#This Row],[External Expenses/Revenues USD]]*BI22/tblSOW8[[#This Row],[Duration]]</f>
        <v>2705.7762475025206</v>
      </c>
      <c r="Z22" s="74">
        <f>tblSOW8[[#This Row],[FTE Cost]]*tblSOW8[[#This Row],[% work on project]]*AL22/12+tblSOW8[[#This Row],[Task Cost]]*AX22+tblSOW8[[#This Row],[External Expenses/Revenues USD]]*BJ22/tblSOW8[[#This Row],[Duration]]</f>
        <v>2705.7762475025206</v>
      </c>
      <c r="AA22" s="74">
        <f>tblSOW8[[#This Row],[FTE Cost]]*tblSOW8[[#This Row],[% work on project]]*AM22/12+tblSOW8[[#This Row],[Task Cost]]*AY22+tblSOW8[[#This Row],[External Expenses/Revenues USD]]*BK22/tblSOW8[[#This Row],[Duration]]</f>
        <v>2705.7762475025206</v>
      </c>
      <c r="AB22" s="74">
        <f>tblSOW8[[#This Row],[FTE Cost]]*tblSOW8[[#This Row],[% work on project]]*AN22/12+tblSOW8[[#This Row],[Task Cost]]*AZ22+tblSOW8[[#This Row],[External Expenses/Revenues USD]]*BL22/tblSOW8[[#This Row],[Duration]]</f>
        <v>0</v>
      </c>
      <c r="AC22" s="74">
        <f>tblSOW8[[#This Row],[FTE Cost]]*tblSOW8[[#This Row],[% work on project]]*AO22/12+tblSOW8[[#This Row],[Task Cost]]*BA22+tblSOW8[[#This Row],[External Expenses/Revenues USD]]*BM22/tblSOW8[[#This Row],[Duration]]</f>
        <v>0</v>
      </c>
      <c r="AD22" s="74">
        <f>tblSOW8[[#This Row],[FTE Cost]]*tblSOW8[[#This Row],[% work on project]]*AP22/12+tblSOW8[[#This Row],[Task Cost]]*BB22+tblSOW8[[#This Row],[External Expenses/Revenues USD]]*BN22/tblSOW8[[#This Row],[Duration]]</f>
        <v>0</v>
      </c>
      <c r="AE22" s="74">
        <f>tblSOW8[[#This Row],[FTE Cost]]*tblSOW8[[#This Row],[% work on project]]*AQ22/12+tblSOW8[[#This Row],[Task Cost]]*BC22+tblSOW8[[#This Row],[External Expenses/Revenues USD]]*BO22/tblSOW8[[#This Row],[Duration]]</f>
        <v>0</v>
      </c>
      <c r="AF22" s="74">
        <f>tblSOW8[[#This Row],[FTE Cost]]*tblSOW8[[#This Row],[% work on project]]*AR22/12+tblSOW8[[#This Row],[Task Cost]]*BD22+tblSOW8[[#This Row],[External Expenses/Revenues USD]]*BP22/tblSOW8[[#This Row],[Duration]]</f>
        <v>0</v>
      </c>
      <c r="AG22" s="74">
        <f>tblSOW8[[#This Row],[FTE Cost]]*tblSOW8[[#This Row],[% work on project]]*AS22/12+tblSOW8[[#This Row],[Task Cost]]*BE22+tblSOW8[[#This Row],[External Expenses/Revenues USD]]*BQ22/tblSOW8[[#This Row],[Duration]]</f>
        <v>0</v>
      </c>
      <c r="AH22" s="74">
        <f>tblSOW8[[#This Row],[FTE Cost]]*tblSOW8[[#This Row],[% work on project]]*AT22/12+tblSOW8[[#This Row],[Task Cost]]*BF22+tblSOW8[[#This Row],[External Expenses/Revenues USD]]*BR22/tblSOW8[[#This Row],[Duration]]</f>
        <v>0</v>
      </c>
      <c r="AI22" s="74">
        <f>tblSOW8[[#This Row],[FTE Cost]]*tblSOW8[[#This Row],[% work on project]]*AU22/12+tblSOW8[[#This Row],[Task Cost]]*BG22+tblSOW8[[#This Row],[External Expenses/Revenues USD]]*BS22/tblSOW8[[#This Row],[Duration]]</f>
        <v>0</v>
      </c>
      <c r="AJ22" s="74">
        <f>tblSOW8[[#This Row],[FTE Cost]]*tblSOW8[[#This Row],[% work on project]]*AV22/12+tblSOW8[[#This Row],[Task Cost]]*BH22+tblSOW8[[#This Row],[External Expenses/Revenues USD]]*BT22/tblSOW8[[#This Row],[Duration]]</f>
        <v>0</v>
      </c>
      <c r="AK22" s="74">
        <f t="shared" si="10"/>
        <v>1</v>
      </c>
      <c r="AL22" s="74">
        <f t="shared" si="10"/>
        <v>1</v>
      </c>
      <c r="AM22" s="74">
        <f t="shared" si="10"/>
        <v>1</v>
      </c>
      <c r="AN22" s="74">
        <f t="shared" si="10"/>
        <v>0</v>
      </c>
      <c r="AO22" s="74">
        <f t="shared" si="10"/>
        <v>0</v>
      </c>
      <c r="AP22" s="74">
        <f t="shared" si="10"/>
        <v>0</v>
      </c>
      <c r="AQ22" s="74">
        <f t="shared" si="10"/>
        <v>0</v>
      </c>
      <c r="AR22" s="74">
        <f t="shared" si="10"/>
        <v>0</v>
      </c>
      <c r="AS22" s="74">
        <f t="shared" si="10"/>
        <v>0</v>
      </c>
      <c r="AT22" s="74">
        <f t="shared" si="8"/>
        <v>0</v>
      </c>
      <c r="AU22" s="74">
        <f t="shared" si="8"/>
        <v>0</v>
      </c>
      <c r="AV22" s="74">
        <f t="shared" si="8"/>
        <v>0</v>
      </c>
      <c r="AW22" s="74">
        <f t="shared" si="11"/>
        <v>3.1666666666666665</v>
      </c>
      <c r="AX22" s="74">
        <f t="shared" si="11"/>
        <v>3.1666666666666665</v>
      </c>
      <c r="AY22" s="74">
        <f t="shared" si="11"/>
        <v>3.1666666666666665</v>
      </c>
      <c r="AZ22" s="74">
        <f t="shared" si="11"/>
        <v>0</v>
      </c>
      <c r="BA22" s="74">
        <f t="shared" si="11"/>
        <v>0</v>
      </c>
      <c r="BB22" s="74">
        <f t="shared" si="11"/>
        <v>0</v>
      </c>
      <c r="BC22" s="74">
        <f t="shared" si="11"/>
        <v>0</v>
      </c>
      <c r="BD22" s="74">
        <f t="shared" si="11"/>
        <v>0</v>
      </c>
      <c r="BE22" s="74">
        <f t="shared" si="11"/>
        <v>0</v>
      </c>
      <c r="BF22" s="74">
        <f t="shared" si="9"/>
        <v>0</v>
      </c>
      <c r="BG22" s="74">
        <f t="shared" si="9"/>
        <v>0</v>
      </c>
      <c r="BH22" s="74">
        <f t="shared" si="9"/>
        <v>0</v>
      </c>
      <c r="BI22" s="74">
        <f t="shared" si="12"/>
        <v>1</v>
      </c>
      <c r="BJ22" s="74">
        <f t="shared" si="12"/>
        <v>1</v>
      </c>
      <c r="BK22" s="74">
        <f t="shared" si="12"/>
        <v>1</v>
      </c>
      <c r="BL22" s="74">
        <f t="shared" si="12"/>
        <v>0</v>
      </c>
      <c r="BM22" s="74">
        <f t="shared" si="12"/>
        <v>0</v>
      </c>
      <c r="BN22" s="74">
        <f t="shared" si="12"/>
        <v>0</v>
      </c>
      <c r="BO22" s="74">
        <f t="shared" si="12"/>
        <v>0</v>
      </c>
      <c r="BP22" s="74">
        <f t="shared" si="12"/>
        <v>0</v>
      </c>
      <c r="BQ22" s="74">
        <f t="shared" si="12"/>
        <v>0</v>
      </c>
      <c r="BR22" s="74">
        <f t="shared" si="12"/>
        <v>0</v>
      </c>
      <c r="BS22" s="74">
        <f t="shared" si="12"/>
        <v>0</v>
      </c>
      <c r="BT22" s="74">
        <f t="shared" si="12"/>
        <v>0</v>
      </c>
      <c r="BU22" s="74">
        <f>SUM(tblSOW8[[#This Row],[P1]:[P12]])</f>
        <v>3</v>
      </c>
      <c r="BV22" s="74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22" s="74">
        <f>IFERROR(VLOOKUP(K22,[30]Parameters!BN:BW,10,0),0)</f>
        <v>854.45565710605922</v>
      </c>
      <c r="BX22" s="74">
        <f>SUM(tblSOW8[[#This Row],[Jan 2023 USD]:[Mar 2023 USD]])</f>
        <v>8117.3287425075614</v>
      </c>
      <c r="BY22" s="74">
        <f>SUM(tblSOW8[[#This Row],[Apr 2023 USD]:[Jun 2023 USD]])</f>
        <v>0</v>
      </c>
      <c r="BZ22" s="74">
        <f>SUM(tblSOW8[[#This Row],[Jul 2023 USD]:[Sep 2023 USD]])</f>
        <v>0</v>
      </c>
      <c r="CA22" s="74">
        <f>SUM(tblSOW8[[#This Row],[Oct 2023 USD]:[Dec 2023 USD]])</f>
        <v>0</v>
      </c>
    </row>
    <row r="23" spans="1:79" s="75" customFormat="1" ht="13.5" customHeight="1">
      <c r="A23" s="67" t="str">
        <f>CONCATENATE(INDEX([30]Parameters!$U$1:$V$20,MATCH(C23,[30]Parameters!$V$1:$V$20,0),1),"/",VLOOKUP(D23,[30]Parameters!$CG$1:$CH$12,2,0),".",E23,".",H23,".",LEFT(J23,3),"-",LEFT(K23,4))</f>
        <v>B20/20.P19.405.950-T103</v>
      </c>
      <c r="B23" s="67" t="s">
        <v>160</v>
      </c>
      <c r="C23" s="67" t="s">
        <v>158</v>
      </c>
      <c r="D23" s="111" t="s">
        <v>95</v>
      </c>
      <c r="E23" s="111" t="str">
        <f>VLOOKUP(F23,[30]Parameters!P:T,4,0)</f>
        <v>P19</v>
      </c>
      <c r="F23" s="111" t="s">
        <v>159</v>
      </c>
      <c r="G23" s="67"/>
      <c r="H23" s="44">
        <f>INDEX([30]Parameters!$B:$C,MATCH(I23,[30]Parameters!$C:$C,0),1)</f>
        <v>405</v>
      </c>
      <c r="I23" s="68" t="s">
        <v>98</v>
      </c>
      <c r="J23" s="68" t="s">
        <v>94</v>
      </c>
      <c r="K23" s="68" t="s">
        <v>99</v>
      </c>
      <c r="L23" s="68"/>
      <c r="M23" s="69"/>
      <c r="N23" s="119"/>
      <c r="O23" s="119"/>
      <c r="P23" s="72">
        <v>44927</v>
      </c>
      <c r="Q23" s="72">
        <v>45016</v>
      </c>
      <c r="R23" s="67"/>
      <c r="S23" s="67">
        <f t="shared" si="7"/>
        <v>3</v>
      </c>
      <c r="T23" s="68"/>
      <c r="U23" s="68">
        <v>0</v>
      </c>
      <c r="V23" s="68">
        <v>0</v>
      </c>
      <c r="W23" s="68" t="str">
        <f>IF(AND(ISNUMBER(SEARCH("-T",tblSOW8[[#This Row],[Budget Item]])),NOT(ISNUMBER(tblSOW8[[#This Row],[Task Units]]))),"Please Enter Task Units",
IF(AND(ISNUMBER(SEARCH("-E000",tblSOW8[[#This Row],[Budget Item]])),NOT(ISNUMBER(tblSOW8[[#This Row],[% work on project]]))),"Please Enter Organic FTE",
IF(AND(ISNUMBER(SEARCH("-E999",tblSOW8[[#This Row],[Budget Item]])),NOT(ISNUMBER(tblSOW8[[#This Row],[External Expenses/Revenues USD]]))),"Please Enter External Expenses",
"")))</f>
        <v/>
      </c>
      <c r="X23" s="67">
        <f>SUM(tblSOW8[[#This Row],[Jan 2023 USD]:[Dec 2023 USD]])</f>
        <v>0</v>
      </c>
      <c r="Y23" s="74">
        <f>tblSOW8[[#This Row],[FTE Cost]]*tblSOW8[[#This Row],[% work on project]]*AK23/12+tblSOW8[[#This Row],[Task Cost]]*AW23+tblSOW8[[#This Row],[External Expenses/Revenues USD]]*BI23/tblSOW8[[#This Row],[Duration]]</f>
        <v>0</v>
      </c>
      <c r="Z23" s="74">
        <f>tblSOW8[[#This Row],[FTE Cost]]*tblSOW8[[#This Row],[% work on project]]*AL23/12+tblSOW8[[#This Row],[Task Cost]]*AX23+tblSOW8[[#This Row],[External Expenses/Revenues USD]]*BJ23/tblSOW8[[#This Row],[Duration]]</f>
        <v>0</v>
      </c>
      <c r="AA23" s="74">
        <f>tblSOW8[[#This Row],[FTE Cost]]*tblSOW8[[#This Row],[% work on project]]*AM23/12+tblSOW8[[#This Row],[Task Cost]]*AY23+tblSOW8[[#This Row],[External Expenses/Revenues USD]]*BK23/tblSOW8[[#This Row],[Duration]]</f>
        <v>0</v>
      </c>
      <c r="AB23" s="74">
        <f>tblSOW8[[#This Row],[FTE Cost]]*tblSOW8[[#This Row],[% work on project]]*AN23/12+tblSOW8[[#This Row],[Task Cost]]*AZ23+tblSOW8[[#This Row],[External Expenses/Revenues USD]]*BL23/tblSOW8[[#This Row],[Duration]]</f>
        <v>0</v>
      </c>
      <c r="AC23" s="74">
        <f>tblSOW8[[#This Row],[FTE Cost]]*tblSOW8[[#This Row],[% work on project]]*AO23/12+tblSOW8[[#This Row],[Task Cost]]*BA23+tblSOW8[[#This Row],[External Expenses/Revenues USD]]*BM23/tblSOW8[[#This Row],[Duration]]</f>
        <v>0</v>
      </c>
      <c r="AD23" s="74">
        <f>tblSOW8[[#This Row],[FTE Cost]]*tblSOW8[[#This Row],[% work on project]]*AP23/12+tblSOW8[[#This Row],[Task Cost]]*BB23+tblSOW8[[#This Row],[External Expenses/Revenues USD]]*BN23/tblSOW8[[#This Row],[Duration]]</f>
        <v>0</v>
      </c>
      <c r="AE23" s="74">
        <f>tblSOW8[[#This Row],[FTE Cost]]*tblSOW8[[#This Row],[% work on project]]*AQ23/12+tblSOW8[[#This Row],[Task Cost]]*BC23+tblSOW8[[#This Row],[External Expenses/Revenues USD]]*BO23/tblSOW8[[#This Row],[Duration]]</f>
        <v>0</v>
      </c>
      <c r="AF23" s="74">
        <f>tblSOW8[[#This Row],[FTE Cost]]*tblSOW8[[#This Row],[% work on project]]*AR23/12+tblSOW8[[#This Row],[Task Cost]]*BD23+tblSOW8[[#This Row],[External Expenses/Revenues USD]]*BP23/tblSOW8[[#This Row],[Duration]]</f>
        <v>0</v>
      </c>
      <c r="AG23" s="74">
        <f>tblSOW8[[#This Row],[FTE Cost]]*tblSOW8[[#This Row],[% work on project]]*AS23/12+tblSOW8[[#This Row],[Task Cost]]*BE23+tblSOW8[[#This Row],[External Expenses/Revenues USD]]*BQ23/tblSOW8[[#This Row],[Duration]]</f>
        <v>0</v>
      </c>
      <c r="AH23" s="74">
        <f>tblSOW8[[#This Row],[FTE Cost]]*tblSOW8[[#This Row],[% work on project]]*AT23/12+tblSOW8[[#This Row],[Task Cost]]*BF23+tblSOW8[[#This Row],[External Expenses/Revenues USD]]*BR23/tblSOW8[[#This Row],[Duration]]</f>
        <v>0</v>
      </c>
      <c r="AI23" s="74">
        <f>tblSOW8[[#This Row],[FTE Cost]]*tblSOW8[[#This Row],[% work on project]]*AU23/12+tblSOW8[[#This Row],[Task Cost]]*BG23+tblSOW8[[#This Row],[External Expenses/Revenues USD]]*BS23/tblSOW8[[#This Row],[Duration]]</f>
        <v>0</v>
      </c>
      <c r="AJ23" s="74">
        <f>tblSOW8[[#This Row],[FTE Cost]]*tblSOW8[[#This Row],[% work on project]]*AV23/12+tblSOW8[[#This Row],[Task Cost]]*BH23+tblSOW8[[#This Row],[External Expenses/Revenues USD]]*BT23/tblSOW8[[#This Row],[Duration]]</f>
        <v>0</v>
      </c>
      <c r="AK23" s="74">
        <f t="shared" si="10"/>
        <v>1</v>
      </c>
      <c r="AL23" s="74">
        <f t="shared" si="10"/>
        <v>1</v>
      </c>
      <c r="AM23" s="74">
        <f t="shared" si="10"/>
        <v>1</v>
      </c>
      <c r="AN23" s="74">
        <f t="shared" si="10"/>
        <v>0</v>
      </c>
      <c r="AO23" s="74">
        <f t="shared" si="10"/>
        <v>0</v>
      </c>
      <c r="AP23" s="74">
        <f t="shared" si="10"/>
        <v>0</v>
      </c>
      <c r="AQ23" s="74">
        <f t="shared" si="10"/>
        <v>0</v>
      </c>
      <c r="AR23" s="74">
        <f t="shared" si="10"/>
        <v>0</v>
      </c>
      <c r="AS23" s="74">
        <f t="shared" si="10"/>
        <v>0</v>
      </c>
      <c r="AT23" s="74">
        <f t="shared" si="8"/>
        <v>0</v>
      </c>
      <c r="AU23" s="74">
        <f t="shared" si="8"/>
        <v>0</v>
      </c>
      <c r="AV23" s="74">
        <f t="shared" si="8"/>
        <v>0</v>
      </c>
      <c r="AW23" s="74">
        <f t="shared" si="11"/>
        <v>0</v>
      </c>
      <c r="AX23" s="74">
        <f t="shared" si="11"/>
        <v>0</v>
      </c>
      <c r="AY23" s="74">
        <f t="shared" si="11"/>
        <v>0</v>
      </c>
      <c r="AZ23" s="74">
        <f t="shared" si="11"/>
        <v>0</v>
      </c>
      <c r="BA23" s="74">
        <f t="shared" si="11"/>
        <v>0</v>
      </c>
      <c r="BB23" s="74">
        <f t="shared" si="11"/>
        <v>0</v>
      </c>
      <c r="BC23" s="74">
        <f t="shared" si="11"/>
        <v>0</v>
      </c>
      <c r="BD23" s="74">
        <f t="shared" si="11"/>
        <v>0</v>
      </c>
      <c r="BE23" s="74">
        <f t="shared" si="11"/>
        <v>0</v>
      </c>
      <c r="BF23" s="74">
        <f t="shared" si="9"/>
        <v>0</v>
      </c>
      <c r="BG23" s="74">
        <f t="shared" si="9"/>
        <v>0</v>
      </c>
      <c r="BH23" s="74">
        <f t="shared" si="9"/>
        <v>0</v>
      </c>
      <c r="BI23" s="74">
        <f t="shared" si="12"/>
        <v>1</v>
      </c>
      <c r="BJ23" s="74">
        <f t="shared" si="12"/>
        <v>1</v>
      </c>
      <c r="BK23" s="74">
        <f t="shared" si="12"/>
        <v>1</v>
      </c>
      <c r="BL23" s="74">
        <f t="shared" si="12"/>
        <v>0</v>
      </c>
      <c r="BM23" s="74">
        <f t="shared" si="12"/>
        <v>0</v>
      </c>
      <c r="BN23" s="74">
        <f t="shared" si="12"/>
        <v>0</v>
      </c>
      <c r="BO23" s="74">
        <f t="shared" si="12"/>
        <v>0</v>
      </c>
      <c r="BP23" s="74">
        <f t="shared" si="12"/>
        <v>0</v>
      </c>
      <c r="BQ23" s="74">
        <f t="shared" si="12"/>
        <v>0</v>
      </c>
      <c r="BR23" s="74">
        <f t="shared" si="12"/>
        <v>0</v>
      </c>
      <c r="BS23" s="74">
        <f t="shared" si="12"/>
        <v>0</v>
      </c>
      <c r="BT23" s="74">
        <f t="shared" si="12"/>
        <v>0</v>
      </c>
      <c r="BU23" s="74">
        <f>SUM(tblSOW8[[#This Row],[P1]:[P12]])</f>
        <v>3</v>
      </c>
      <c r="BV23" s="74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23" s="74">
        <f>IFERROR(VLOOKUP(K23,[30]Parameters!BN:BW,10,0),0)</f>
        <v>854.45565710605922</v>
      </c>
      <c r="BX23" s="74">
        <f>SUM(tblSOW8[[#This Row],[Jan 2023 USD]:[Mar 2023 USD]])</f>
        <v>0</v>
      </c>
      <c r="BY23" s="74">
        <f>SUM(tblSOW8[[#This Row],[Apr 2023 USD]:[Jun 2023 USD]])</f>
        <v>0</v>
      </c>
      <c r="BZ23" s="74">
        <f>SUM(tblSOW8[[#This Row],[Jul 2023 USD]:[Sep 2023 USD]])</f>
        <v>0</v>
      </c>
      <c r="CA23" s="74">
        <f>SUM(tblSOW8[[#This Row],[Oct 2023 USD]:[Dec 2023 USD]])</f>
        <v>0</v>
      </c>
    </row>
    <row r="24" spans="1:79" s="75" customFormat="1" ht="13.5" customHeight="1">
      <c r="A24" s="67" t="str">
        <f>CONCATENATE(INDEX([30]Parameters!$U$1:$V$20,MATCH(C24,[30]Parameters!$V$1:$V$20,0),1),"/",VLOOKUP(D24,[30]Parameters!$CG$1:$CH$12,2,0),".",E24,".",H24,".",LEFT(J24,3),"-",LEFT(K24,4))</f>
        <v>B20/20.P192.405.950-T103</v>
      </c>
      <c r="B24" s="67" t="s">
        <v>160</v>
      </c>
      <c r="C24" s="67" t="s">
        <v>158</v>
      </c>
      <c r="D24" s="111" t="s">
        <v>95</v>
      </c>
      <c r="E24" s="111" t="str">
        <f>VLOOKUP(F24,[30]Parameters!P:T,4,0)</f>
        <v>P192</v>
      </c>
      <c r="F24" s="111" t="s">
        <v>163</v>
      </c>
      <c r="G24" s="67"/>
      <c r="H24" s="44">
        <f>INDEX([30]Parameters!$B:$C,MATCH(I24,[30]Parameters!$C:$C,0),1)</f>
        <v>405</v>
      </c>
      <c r="I24" s="68" t="s">
        <v>98</v>
      </c>
      <c r="J24" s="68" t="s">
        <v>94</v>
      </c>
      <c r="K24" s="68" t="s">
        <v>99</v>
      </c>
      <c r="L24" s="68"/>
      <c r="M24" s="69"/>
      <c r="N24" s="119"/>
      <c r="O24" s="119"/>
      <c r="P24" s="72">
        <v>45017</v>
      </c>
      <c r="Q24" s="72">
        <v>45107</v>
      </c>
      <c r="R24" s="67"/>
      <c r="S24" s="67">
        <f t="shared" si="7"/>
        <v>3</v>
      </c>
      <c r="T24" s="68"/>
      <c r="U24" s="68">
        <v>3</v>
      </c>
      <c r="V24" s="68"/>
      <c r="W24" s="68" t="str">
        <f>IF(AND(ISNUMBER(SEARCH("-T",tblSOW8[[#This Row],[Budget Item]])),NOT(ISNUMBER(tblSOW8[[#This Row],[Task Units]]))),"Please Enter Task Units",
IF(AND(ISNUMBER(SEARCH("-E000",tblSOW8[[#This Row],[Budget Item]])),NOT(ISNUMBER(tblSOW8[[#This Row],[% work on project]]))),"Please Enter Organic FTE",
IF(AND(ISNUMBER(SEARCH("-E999",tblSOW8[[#This Row],[Budget Item]])),NOT(ISNUMBER(tblSOW8[[#This Row],[External Expenses/Revenues USD]]))),"Please Enter External Expenses",
"")))</f>
        <v/>
      </c>
      <c r="X24" s="67">
        <f>SUM(tblSOW8[[#This Row],[Jan 2023 USD]:[Dec 2023 USD]])</f>
        <v>2563.3669713181775</v>
      </c>
      <c r="Y24" s="74">
        <f>tblSOW8[[#This Row],[FTE Cost]]*tblSOW8[[#This Row],[% work on project]]*AK24/12+tblSOW8[[#This Row],[Task Cost]]*AW24+tblSOW8[[#This Row],[External Expenses/Revenues USD]]*BI24/tblSOW8[[#This Row],[Duration]]</f>
        <v>0</v>
      </c>
      <c r="Z24" s="74">
        <f>tblSOW8[[#This Row],[FTE Cost]]*tblSOW8[[#This Row],[% work on project]]*AL24/12+tblSOW8[[#This Row],[Task Cost]]*AX24+tblSOW8[[#This Row],[External Expenses/Revenues USD]]*BJ24/tblSOW8[[#This Row],[Duration]]</f>
        <v>0</v>
      </c>
      <c r="AA24" s="74">
        <f>tblSOW8[[#This Row],[FTE Cost]]*tblSOW8[[#This Row],[% work on project]]*AM24/12+tblSOW8[[#This Row],[Task Cost]]*AY24+tblSOW8[[#This Row],[External Expenses/Revenues USD]]*BK24/tblSOW8[[#This Row],[Duration]]</f>
        <v>0</v>
      </c>
      <c r="AB24" s="74">
        <f>tblSOW8[[#This Row],[FTE Cost]]*tblSOW8[[#This Row],[% work on project]]*AN24/12+tblSOW8[[#This Row],[Task Cost]]*AZ24+tblSOW8[[#This Row],[External Expenses/Revenues USD]]*BL24/tblSOW8[[#This Row],[Duration]]</f>
        <v>854.45565710605922</v>
      </c>
      <c r="AC24" s="74">
        <f>tblSOW8[[#This Row],[FTE Cost]]*tblSOW8[[#This Row],[% work on project]]*AO24/12+tblSOW8[[#This Row],[Task Cost]]*BA24+tblSOW8[[#This Row],[External Expenses/Revenues USD]]*BM24/tblSOW8[[#This Row],[Duration]]</f>
        <v>854.45565710605922</v>
      </c>
      <c r="AD24" s="74">
        <f>tblSOW8[[#This Row],[FTE Cost]]*tblSOW8[[#This Row],[% work on project]]*AP24/12+tblSOW8[[#This Row],[Task Cost]]*BB24+tblSOW8[[#This Row],[External Expenses/Revenues USD]]*BN24/tblSOW8[[#This Row],[Duration]]</f>
        <v>854.45565710605922</v>
      </c>
      <c r="AE24" s="74">
        <f>tblSOW8[[#This Row],[FTE Cost]]*tblSOW8[[#This Row],[% work on project]]*AQ24/12+tblSOW8[[#This Row],[Task Cost]]*BC24+tblSOW8[[#This Row],[External Expenses/Revenues USD]]*BO24/tblSOW8[[#This Row],[Duration]]</f>
        <v>0</v>
      </c>
      <c r="AF24" s="74">
        <f>tblSOW8[[#This Row],[FTE Cost]]*tblSOW8[[#This Row],[% work on project]]*AR24/12+tblSOW8[[#This Row],[Task Cost]]*BD24+tblSOW8[[#This Row],[External Expenses/Revenues USD]]*BP24/tblSOW8[[#This Row],[Duration]]</f>
        <v>0</v>
      </c>
      <c r="AG24" s="74">
        <f>tblSOW8[[#This Row],[FTE Cost]]*tblSOW8[[#This Row],[% work on project]]*AS24/12+tblSOW8[[#This Row],[Task Cost]]*BE24+tblSOW8[[#This Row],[External Expenses/Revenues USD]]*BQ24/tblSOW8[[#This Row],[Duration]]</f>
        <v>0</v>
      </c>
      <c r="AH24" s="74">
        <f>tblSOW8[[#This Row],[FTE Cost]]*tblSOW8[[#This Row],[% work on project]]*AT24/12+tblSOW8[[#This Row],[Task Cost]]*BF24+tblSOW8[[#This Row],[External Expenses/Revenues USD]]*BR24/tblSOW8[[#This Row],[Duration]]</f>
        <v>0</v>
      </c>
      <c r="AI24" s="74">
        <f>tblSOW8[[#This Row],[FTE Cost]]*tblSOW8[[#This Row],[% work on project]]*AU24/12+tblSOW8[[#This Row],[Task Cost]]*BG24+tblSOW8[[#This Row],[External Expenses/Revenues USD]]*BS24/tblSOW8[[#This Row],[Duration]]</f>
        <v>0</v>
      </c>
      <c r="AJ24" s="74">
        <f>tblSOW8[[#This Row],[FTE Cost]]*tblSOW8[[#This Row],[% work on project]]*AV24/12+tblSOW8[[#This Row],[Task Cost]]*BH24+tblSOW8[[#This Row],[External Expenses/Revenues USD]]*BT24/tblSOW8[[#This Row],[Duration]]</f>
        <v>0</v>
      </c>
      <c r="AK24" s="74">
        <f t="shared" si="10"/>
        <v>0</v>
      </c>
      <c r="AL24" s="74">
        <f t="shared" si="10"/>
        <v>0</v>
      </c>
      <c r="AM24" s="74">
        <f t="shared" si="10"/>
        <v>0</v>
      </c>
      <c r="AN24" s="74">
        <f t="shared" si="10"/>
        <v>1</v>
      </c>
      <c r="AO24" s="74">
        <f t="shared" si="10"/>
        <v>1</v>
      </c>
      <c r="AP24" s="74">
        <f t="shared" si="10"/>
        <v>1</v>
      </c>
      <c r="AQ24" s="74">
        <f t="shared" si="10"/>
        <v>0</v>
      </c>
      <c r="AR24" s="74">
        <f t="shared" si="10"/>
        <v>0</v>
      </c>
      <c r="AS24" s="74">
        <f t="shared" si="10"/>
        <v>0</v>
      </c>
      <c r="AT24" s="74">
        <f t="shared" si="8"/>
        <v>0</v>
      </c>
      <c r="AU24" s="74">
        <f t="shared" si="8"/>
        <v>0</v>
      </c>
      <c r="AV24" s="74">
        <f t="shared" si="8"/>
        <v>0</v>
      </c>
      <c r="AW24" s="74">
        <f t="shared" si="11"/>
        <v>0</v>
      </c>
      <c r="AX24" s="74">
        <f t="shared" si="11"/>
        <v>0</v>
      </c>
      <c r="AY24" s="74">
        <f t="shared" si="11"/>
        <v>0</v>
      </c>
      <c r="AZ24" s="74">
        <f t="shared" si="11"/>
        <v>1</v>
      </c>
      <c r="BA24" s="74">
        <f t="shared" si="11"/>
        <v>1</v>
      </c>
      <c r="BB24" s="74">
        <f t="shared" si="11"/>
        <v>1</v>
      </c>
      <c r="BC24" s="74">
        <f t="shared" si="11"/>
        <v>0</v>
      </c>
      <c r="BD24" s="74">
        <f t="shared" si="11"/>
        <v>0</v>
      </c>
      <c r="BE24" s="74">
        <f t="shared" si="11"/>
        <v>0</v>
      </c>
      <c r="BF24" s="74">
        <f t="shared" si="9"/>
        <v>0</v>
      </c>
      <c r="BG24" s="74">
        <f t="shared" si="9"/>
        <v>0</v>
      </c>
      <c r="BH24" s="74">
        <f t="shared" si="9"/>
        <v>0</v>
      </c>
      <c r="BI24" s="74">
        <f t="shared" si="12"/>
        <v>0</v>
      </c>
      <c r="BJ24" s="74">
        <f t="shared" si="12"/>
        <v>0</v>
      </c>
      <c r="BK24" s="74">
        <f t="shared" si="12"/>
        <v>0</v>
      </c>
      <c r="BL24" s="74">
        <f t="shared" si="12"/>
        <v>1</v>
      </c>
      <c r="BM24" s="74">
        <f t="shared" si="12"/>
        <v>1</v>
      </c>
      <c r="BN24" s="74">
        <f t="shared" si="12"/>
        <v>1</v>
      </c>
      <c r="BO24" s="74">
        <f t="shared" si="12"/>
        <v>0</v>
      </c>
      <c r="BP24" s="74">
        <f t="shared" si="12"/>
        <v>0</v>
      </c>
      <c r="BQ24" s="74">
        <f t="shared" si="12"/>
        <v>0</v>
      </c>
      <c r="BR24" s="74">
        <f t="shared" si="12"/>
        <v>0</v>
      </c>
      <c r="BS24" s="74">
        <f t="shared" si="12"/>
        <v>0</v>
      </c>
      <c r="BT24" s="74">
        <f t="shared" si="12"/>
        <v>0</v>
      </c>
      <c r="BU24" s="74">
        <f>SUM(tblSOW8[[#This Row],[P1]:[P12]])</f>
        <v>3</v>
      </c>
      <c r="BV24" s="74">
        <f>IFERROR(VLOOKUP(H24,[30]Parameters!CK:CN,3,0),0)</f>
        <v>0</v>
      </c>
      <c r="BW24" s="74">
        <f>IFERROR(VLOOKUP(K24,[30]Parameters!BN:BW,10,0),0)</f>
        <v>854.45565710605922</v>
      </c>
      <c r="BX24" s="74">
        <f>SUM(tblSOW8[[#This Row],[Jan 2023 USD]:[Mar 2023 USD]])</f>
        <v>0</v>
      </c>
      <c r="BY24" s="74">
        <f>SUM(tblSOW8[[#This Row],[Apr 2023 USD]:[Jun 2023 USD]])</f>
        <v>2563.3669713181775</v>
      </c>
      <c r="BZ24" s="74">
        <f>SUM(tblSOW8[[#This Row],[Jul 2023 USD]:[Sep 2023 USD]])</f>
        <v>0</v>
      </c>
      <c r="CA24" s="74">
        <f>SUM(tblSOW8[[#This Row],[Oct 2023 USD]:[Dec 2023 USD]])</f>
        <v>0</v>
      </c>
    </row>
    <row r="25" spans="1:79" s="75" customFormat="1" ht="13.5" customHeight="1">
      <c r="A25" s="67" t="str">
        <f>CONCATENATE(INDEX([30]Parameters!$U$1:$V$20,MATCH(C25,[30]Parameters!$V$1:$V$20,0),1),"/",VLOOKUP(D25,[30]Parameters!$CG$1:$CH$12,2,0),".",E25,".",H25,".",LEFT(J25,3),"-",LEFT(K25,4))</f>
        <v>B20/20.P145.405.950-T103</v>
      </c>
      <c r="B25" s="67" t="s">
        <v>160</v>
      </c>
      <c r="C25" s="67" t="s">
        <v>158</v>
      </c>
      <c r="D25" s="111" t="s">
        <v>95</v>
      </c>
      <c r="E25" s="111" t="str">
        <f>VLOOKUP(F25,[30]Parameters!P:T,4,0)</f>
        <v>P145</v>
      </c>
      <c r="F25" s="111" t="s">
        <v>161</v>
      </c>
      <c r="G25" s="67"/>
      <c r="H25" s="44">
        <f>INDEX([30]Parameters!$B:$C,MATCH(I25,[30]Parameters!$C:$C,0),1)</f>
        <v>405</v>
      </c>
      <c r="I25" s="68" t="s">
        <v>98</v>
      </c>
      <c r="J25" s="68" t="s">
        <v>94</v>
      </c>
      <c r="K25" s="68" t="s">
        <v>99</v>
      </c>
      <c r="L25" s="68"/>
      <c r="M25" s="69"/>
      <c r="N25" s="119"/>
      <c r="O25" s="119"/>
      <c r="P25" s="72">
        <v>45017</v>
      </c>
      <c r="Q25" s="72">
        <v>45107</v>
      </c>
      <c r="R25" s="67"/>
      <c r="S25" s="67">
        <f t="shared" si="7"/>
        <v>3</v>
      </c>
      <c r="T25" s="68"/>
      <c r="U25" s="68">
        <v>0</v>
      </c>
      <c r="V25" s="68">
        <v>0</v>
      </c>
      <c r="W25" s="68" t="str">
        <f>IF(AND(ISNUMBER(SEARCH("-T",tblSOW8[[#This Row],[Budget Item]])),NOT(ISNUMBER(tblSOW8[[#This Row],[Task Units]]))),"Please Enter Task Units",
IF(AND(ISNUMBER(SEARCH("-E000",tblSOW8[[#This Row],[Budget Item]])),NOT(ISNUMBER(tblSOW8[[#This Row],[% work on project]]))),"Please Enter Organic FTE",
IF(AND(ISNUMBER(SEARCH("-E999",tblSOW8[[#This Row],[Budget Item]])),NOT(ISNUMBER(tblSOW8[[#This Row],[External Expenses/Revenues USD]]))),"Please Enter External Expenses",
"")))</f>
        <v/>
      </c>
      <c r="X25" s="67">
        <f>SUM(tblSOW8[[#This Row],[Jan 2023 USD]:[Dec 2023 USD]])</f>
        <v>0</v>
      </c>
      <c r="Y25" s="74">
        <f>tblSOW8[[#This Row],[FTE Cost]]*tblSOW8[[#This Row],[% work on project]]*AK25/12+tblSOW8[[#This Row],[Task Cost]]*AW25+tblSOW8[[#This Row],[External Expenses/Revenues USD]]*BI25/tblSOW8[[#This Row],[Duration]]</f>
        <v>0</v>
      </c>
      <c r="Z25" s="74">
        <f>tblSOW8[[#This Row],[FTE Cost]]*tblSOW8[[#This Row],[% work on project]]*AL25/12+tblSOW8[[#This Row],[Task Cost]]*AX25+tblSOW8[[#This Row],[External Expenses/Revenues USD]]*BJ25/tblSOW8[[#This Row],[Duration]]</f>
        <v>0</v>
      </c>
      <c r="AA25" s="74">
        <f>tblSOW8[[#This Row],[FTE Cost]]*tblSOW8[[#This Row],[% work on project]]*AM25/12+tblSOW8[[#This Row],[Task Cost]]*AY25+tblSOW8[[#This Row],[External Expenses/Revenues USD]]*BK25/tblSOW8[[#This Row],[Duration]]</f>
        <v>0</v>
      </c>
      <c r="AB25" s="74">
        <f>tblSOW8[[#This Row],[FTE Cost]]*tblSOW8[[#This Row],[% work on project]]*AN25/12+tblSOW8[[#This Row],[Task Cost]]*AZ25+tblSOW8[[#This Row],[External Expenses/Revenues USD]]*BL25/tblSOW8[[#This Row],[Duration]]</f>
        <v>0</v>
      </c>
      <c r="AC25" s="74">
        <f>tblSOW8[[#This Row],[FTE Cost]]*tblSOW8[[#This Row],[% work on project]]*AO25/12+tblSOW8[[#This Row],[Task Cost]]*BA25+tblSOW8[[#This Row],[External Expenses/Revenues USD]]*BM25/tblSOW8[[#This Row],[Duration]]</f>
        <v>0</v>
      </c>
      <c r="AD25" s="74">
        <f>tblSOW8[[#This Row],[FTE Cost]]*tblSOW8[[#This Row],[% work on project]]*AP25/12+tblSOW8[[#This Row],[Task Cost]]*BB25+tblSOW8[[#This Row],[External Expenses/Revenues USD]]*BN25/tblSOW8[[#This Row],[Duration]]</f>
        <v>0</v>
      </c>
      <c r="AE25" s="74">
        <f>tblSOW8[[#This Row],[FTE Cost]]*tblSOW8[[#This Row],[% work on project]]*AQ25/12+tblSOW8[[#This Row],[Task Cost]]*BC25+tblSOW8[[#This Row],[External Expenses/Revenues USD]]*BO25/tblSOW8[[#This Row],[Duration]]</f>
        <v>0</v>
      </c>
      <c r="AF25" s="74">
        <f>tblSOW8[[#This Row],[FTE Cost]]*tblSOW8[[#This Row],[% work on project]]*AR25/12+tblSOW8[[#This Row],[Task Cost]]*BD25+tblSOW8[[#This Row],[External Expenses/Revenues USD]]*BP25/tblSOW8[[#This Row],[Duration]]</f>
        <v>0</v>
      </c>
      <c r="AG25" s="74">
        <f>tblSOW8[[#This Row],[FTE Cost]]*tblSOW8[[#This Row],[% work on project]]*AS25/12+tblSOW8[[#This Row],[Task Cost]]*BE25+tblSOW8[[#This Row],[External Expenses/Revenues USD]]*BQ25/tblSOW8[[#This Row],[Duration]]</f>
        <v>0</v>
      </c>
      <c r="AH25" s="74">
        <f>tblSOW8[[#This Row],[FTE Cost]]*tblSOW8[[#This Row],[% work on project]]*AT25/12+tblSOW8[[#This Row],[Task Cost]]*BF25+tblSOW8[[#This Row],[External Expenses/Revenues USD]]*BR25/tblSOW8[[#This Row],[Duration]]</f>
        <v>0</v>
      </c>
      <c r="AI25" s="74">
        <f>tblSOW8[[#This Row],[FTE Cost]]*tblSOW8[[#This Row],[% work on project]]*AU25/12+tblSOW8[[#This Row],[Task Cost]]*BG25+tblSOW8[[#This Row],[External Expenses/Revenues USD]]*BS25/tblSOW8[[#This Row],[Duration]]</f>
        <v>0</v>
      </c>
      <c r="AJ25" s="74">
        <f>tblSOW8[[#This Row],[FTE Cost]]*tblSOW8[[#This Row],[% work on project]]*AV25/12+tblSOW8[[#This Row],[Task Cost]]*BH25+tblSOW8[[#This Row],[External Expenses/Revenues USD]]*BT25/tblSOW8[[#This Row],[Duration]]</f>
        <v>0</v>
      </c>
      <c r="AK25" s="74">
        <f t="shared" si="10"/>
        <v>0</v>
      </c>
      <c r="AL25" s="74">
        <f t="shared" si="10"/>
        <v>0</v>
      </c>
      <c r="AM25" s="74">
        <f t="shared" si="10"/>
        <v>0</v>
      </c>
      <c r="AN25" s="74">
        <f t="shared" si="10"/>
        <v>1</v>
      </c>
      <c r="AO25" s="74">
        <f t="shared" si="10"/>
        <v>1</v>
      </c>
      <c r="AP25" s="74">
        <f t="shared" si="10"/>
        <v>1</v>
      </c>
      <c r="AQ25" s="74">
        <f t="shared" si="10"/>
        <v>0</v>
      </c>
      <c r="AR25" s="74">
        <f t="shared" si="10"/>
        <v>0</v>
      </c>
      <c r="AS25" s="74">
        <f t="shared" si="10"/>
        <v>0</v>
      </c>
      <c r="AT25" s="74">
        <f t="shared" si="8"/>
        <v>0</v>
      </c>
      <c r="AU25" s="74">
        <f t="shared" si="8"/>
        <v>0</v>
      </c>
      <c r="AV25" s="74">
        <f t="shared" si="8"/>
        <v>0</v>
      </c>
      <c r="AW25" s="74">
        <f t="shared" si="11"/>
        <v>0</v>
      </c>
      <c r="AX25" s="74">
        <f t="shared" si="11"/>
        <v>0</v>
      </c>
      <c r="AY25" s="74">
        <f t="shared" si="11"/>
        <v>0</v>
      </c>
      <c r="AZ25" s="74">
        <f t="shared" si="11"/>
        <v>0</v>
      </c>
      <c r="BA25" s="74">
        <f t="shared" si="11"/>
        <v>0</v>
      </c>
      <c r="BB25" s="74">
        <f t="shared" si="11"/>
        <v>0</v>
      </c>
      <c r="BC25" s="74">
        <f t="shared" si="11"/>
        <v>0</v>
      </c>
      <c r="BD25" s="74">
        <f t="shared" si="11"/>
        <v>0</v>
      </c>
      <c r="BE25" s="74">
        <f t="shared" si="11"/>
        <v>0</v>
      </c>
      <c r="BF25" s="74">
        <f t="shared" si="9"/>
        <v>0</v>
      </c>
      <c r="BG25" s="74">
        <f t="shared" si="9"/>
        <v>0</v>
      </c>
      <c r="BH25" s="74">
        <f t="shared" si="9"/>
        <v>0</v>
      </c>
      <c r="BI25" s="74">
        <f t="shared" si="12"/>
        <v>0</v>
      </c>
      <c r="BJ25" s="74">
        <f t="shared" si="12"/>
        <v>0</v>
      </c>
      <c r="BK25" s="74">
        <f t="shared" si="12"/>
        <v>0</v>
      </c>
      <c r="BL25" s="74">
        <f t="shared" si="12"/>
        <v>1</v>
      </c>
      <c r="BM25" s="74">
        <f t="shared" si="12"/>
        <v>1</v>
      </c>
      <c r="BN25" s="74">
        <f t="shared" si="12"/>
        <v>1</v>
      </c>
      <c r="BO25" s="74">
        <f t="shared" si="12"/>
        <v>0</v>
      </c>
      <c r="BP25" s="74">
        <f t="shared" si="12"/>
        <v>0</v>
      </c>
      <c r="BQ25" s="74">
        <f t="shared" si="12"/>
        <v>0</v>
      </c>
      <c r="BR25" s="74">
        <f t="shared" si="12"/>
        <v>0</v>
      </c>
      <c r="BS25" s="74">
        <f t="shared" si="12"/>
        <v>0</v>
      </c>
      <c r="BT25" s="74">
        <f t="shared" si="12"/>
        <v>0</v>
      </c>
      <c r="BU25" s="74">
        <f>SUM(tblSOW8[[#This Row],[P1]:[P12]])</f>
        <v>3</v>
      </c>
      <c r="BV25" s="74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25" s="74">
        <f>IFERROR(VLOOKUP(K25,[30]Parameters!BN:BW,10,0),0)</f>
        <v>854.45565710605922</v>
      </c>
      <c r="BX25" s="74">
        <f>SUM(tblSOW8[[#This Row],[Jan 2023 USD]:[Mar 2023 USD]])</f>
        <v>0</v>
      </c>
      <c r="BY25" s="74">
        <f>SUM(tblSOW8[[#This Row],[Apr 2023 USD]:[Jun 2023 USD]])</f>
        <v>0</v>
      </c>
      <c r="BZ25" s="74">
        <f>SUM(tblSOW8[[#This Row],[Jul 2023 USD]:[Sep 2023 USD]])</f>
        <v>0</v>
      </c>
      <c r="CA25" s="74">
        <f>SUM(tblSOW8[[#This Row],[Oct 2023 USD]:[Dec 2023 USD]])</f>
        <v>0</v>
      </c>
    </row>
    <row r="26" spans="1:79" s="75" customFormat="1" ht="13.5" customHeight="1">
      <c r="A26" s="67" t="str">
        <f>CONCATENATE(INDEX([30]Parameters!$U$1:$V$20,MATCH(C26,[30]Parameters!$V$1:$V$20,0),1),"/",VLOOKUP(D26,[30]Parameters!$CG$1:$CH$12,2,0),".",E26,".",H26,".",LEFT(J26,3),"-",LEFT(K26,4))</f>
        <v>B20/20.P82.405.950-T103</v>
      </c>
      <c r="B26" s="67" t="s">
        <v>160</v>
      </c>
      <c r="C26" s="67" t="s">
        <v>158</v>
      </c>
      <c r="D26" s="111" t="s">
        <v>95</v>
      </c>
      <c r="E26" s="111" t="str">
        <f>VLOOKUP(F26,[30]Parameters!P:T,4,0)</f>
        <v>P82</v>
      </c>
      <c r="F26" s="111" t="s">
        <v>162</v>
      </c>
      <c r="G26" s="67"/>
      <c r="H26" s="44">
        <f>INDEX([30]Parameters!$B:$C,MATCH(I26,[30]Parameters!$C:$C,0),1)</f>
        <v>405</v>
      </c>
      <c r="I26" s="68" t="s">
        <v>98</v>
      </c>
      <c r="J26" s="68" t="s">
        <v>94</v>
      </c>
      <c r="K26" s="68" t="s">
        <v>99</v>
      </c>
      <c r="L26" s="68"/>
      <c r="M26" s="69"/>
      <c r="N26" s="119"/>
      <c r="O26" s="119"/>
      <c r="P26" s="72">
        <v>45017</v>
      </c>
      <c r="Q26" s="72">
        <v>45107</v>
      </c>
      <c r="R26" s="67"/>
      <c r="S26" s="67">
        <f t="shared" si="7"/>
        <v>3</v>
      </c>
      <c r="T26" s="68"/>
      <c r="U26" s="68">
        <v>6.5</v>
      </c>
      <c r="V26" s="68">
        <v>0</v>
      </c>
      <c r="W26" s="68" t="str">
        <f>IF(AND(ISNUMBER(SEARCH("-T",tblSOW8[[#This Row],[Budget Item]])),NOT(ISNUMBER(tblSOW8[[#This Row],[Task Units]]))),"Please Enter Task Units",
IF(AND(ISNUMBER(SEARCH("-E000",tblSOW8[[#This Row],[Budget Item]])),NOT(ISNUMBER(tblSOW8[[#This Row],[% work on project]]))),"Please Enter Organic FTE",
IF(AND(ISNUMBER(SEARCH("-E999",tblSOW8[[#This Row],[Budget Item]])),NOT(ISNUMBER(tblSOW8[[#This Row],[External Expenses/Revenues USD]]))),"Please Enter External Expenses",
"")))</f>
        <v/>
      </c>
      <c r="X26" s="67">
        <f>SUM(tblSOW8[[#This Row],[Jan 2023 USD]:[Dec 2023 USD]])</f>
        <v>5553.9617711893843</v>
      </c>
      <c r="Y26" s="74">
        <f>tblSOW8[[#This Row],[FTE Cost]]*tblSOW8[[#This Row],[% work on project]]*AK26/12+tblSOW8[[#This Row],[Task Cost]]*AW26+tblSOW8[[#This Row],[External Expenses/Revenues USD]]*BI26/tblSOW8[[#This Row],[Duration]]</f>
        <v>0</v>
      </c>
      <c r="Z26" s="74">
        <f>tblSOW8[[#This Row],[FTE Cost]]*tblSOW8[[#This Row],[% work on project]]*AL26/12+tblSOW8[[#This Row],[Task Cost]]*AX26+tblSOW8[[#This Row],[External Expenses/Revenues USD]]*BJ26/tblSOW8[[#This Row],[Duration]]</f>
        <v>0</v>
      </c>
      <c r="AA26" s="74">
        <f>tblSOW8[[#This Row],[FTE Cost]]*tblSOW8[[#This Row],[% work on project]]*AM26/12+tblSOW8[[#This Row],[Task Cost]]*AY26+tblSOW8[[#This Row],[External Expenses/Revenues USD]]*BK26/tblSOW8[[#This Row],[Duration]]</f>
        <v>0</v>
      </c>
      <c r="AB26" s="74">
        <f>tblSOW8[[#This Row],[FTE Cost]]*tblSOW8[[#This Row],[% work on project]]*AN26/12+tblSOW8[[#This Row],[Task Cost]]*AZ26+tblSOW8[[#This Row],[External Expenses/Revenues USD]]*BL26/tblSOW8[[#This Row],[Duration]]</f>
        <v>1851.3205903964615</v>
      </c>
      <c r="AC26" s="74">
        <f>tblSOW8[[#This Row],[FTE Cost]]*tblSOW8[[#This Row],[% work on project]]*AO26/12+tblSOW8[[#This Row],[Task Cost]]*BA26+tblSOW8[[#This Row],[External Expenses/Revenues USD]]*BM26/tblSOW8[[#This Row],[Duration]]</f>
        <v>1851.3205903964615</v>
      </c>
      <c r="AD26" s="74">
        <f>tblSOW8[[#This Row],[FTE Cost]]*tblSOW8[[#This Row],[% work on project]]*AP26/12+tblSOW8[[#This Row],[Task Cost]]*BB26+tblSOW8[[#This Row],[External Expenses/Revenues USD]]*BN26/tblSOW8[[#This Row],[Duration]]</f>
        <v>1851.3205903964615</v>
      </c>
      <c r="AE26" s="74">
        <f>tblSOW8[[#This Row],[FTE Cost]]*tblSOW8[[#This Row],[% work on project]]*AQ26/12+tblSOW8[[#This Row],[Task Cost]]*BC26+tblSOW8[[#This Row],[External Expenses/Revenues USD]]*BO26/tblSOW8[[#This Row],[Duration]]</f>
        <v>0</v>
      </c>
      <c r="AF26" s="74">
        <f>tblSOW8[[#This Row],[FTE Cost]]*tblSOW8[[#This Row],[% work on project]]*AR26/12+tblSOW8[[#This Row],[Task Cost]]*BD26+tblSOW8[[#This Row],[External Expenses/Revenues USD]]*BP26/tblSOW8[[#This Row],[Duration]]</f>
        <v>0</v>
      </c>
      <c r="AG26" s="74">
        <f>tblSOW8[[#This Row],[FTE Cost]]*tblSOW8[[#This Row],[% work on project]]*AS26/12+tblSOW8[[#This Row],[Task Cost]]*BE26+tblSOW8[[#This Row],[External Expenses/Revenues USD]]*BQ26/tblSOW8[[#This Row],[Duration]]</f>
        <v>0</v>
      </c>
      <c r="AH26" s="74">
        <f>tblSOW8[[#This Row],[FTE Cost]]*tblSOW8[[#This Row],[% work on project]]*AT26/12+tblSOW8[[#This Row],[Task Cost]]*BF26+tblSOW8[[#This Row],[External Expenses/Revenues USD]]*BR26/tblSOW8[[#This Row],[Duration]]</f>
        <v>0</v>
      </c>
      <c r="AI26" s="74">
        <f>tblSOW8[[#This Row],[FTE Cost]]*tblSOW8[[#This Row],[% work on project]]*AU26/12+tblSOW8[[#This Row],[Task Cost]]*BG26+tblSOW8[[#This Row],[External Expenses/Revenues USD]]*BS26/tblSOW8[[#This Row],[Duration]]</f>
        <v>0</v>
      </c>
      <c r="AJ26" s="74">
        <f>tblSOW8[[#This Row],[FTE Cost]]*tblSOW8[[#This Row],[% work on project]]*AV26/12+tblSOW8[[#This Row],[Task Cost]]*BH26+tblSOW8[[#This Row],[External Expenses/Revenues USD]]*BT26/tblSOW8[[#This Row],[Duration]]</f>
        <v>0</v>
      </c>
      <c r="AK26" s="74">
        <f t="shared" si="10"/>
        <v>0</v>
      </c>
      <c r="AL26" s="74">
        <f t="shared" si="10"/>
        <v>0</v>
      </c>
      <c r="AM26" s="74">
        <f t="shared" si="10"/>
        <v>0</v>
      </c>
      <c r="AN26" s="74">
        <f t="shared" si="10"/>
        <v>1</v>
      </c>
      <c r="AO26" s="74">
        <f t="shared" si="10"/>
        <v>1</v>
      </c>
      <c r="AP26" s="74">
        <f t="shared" si="10"/>
        <v>1</v>
      </c>
      <c r="AQ26" s="74">
        <f t="shared" si="10"/>
        <v>0</v>
      </c>
      <c r="AR26" s="74">
        <f t="shared" si="10"/>
        <v>0</v>
      </c>
      <c r="AS26" s="74">
        <f t="shared" si="10"/>
        <v>0</v>
      </c>
      <c r="AT26" s="74">
        <f t="shared" si="8"/>
        <v>0</v>
      </c>
      <c r="AU26" s="74">
        <f t="shared" si="8"/>
        <v>0</v>
      </c>
      <c r="AV26" s="74">
        <f t="shared" si="8"/>
        <v>0</v>
      </c>
      <c r="AW26" s="74">
        <f t="shared" si="11"/>
        <v>0</v>
      </c>
      <c r="AX26" s="74">
        <f t="shared" si="11"/>
        <v>0</v>
      </c>
      <c r="AY26" s="74">
        <f t="shared" si="11"/>
        <v>0</v>
      </c>
      <c r="AZ26" s="74">
        <f t="shared" si="11"/>
        <v>2.1666666666666665</v>
      </c>
      <c r="BA26" s="74">
        <f t="shared" si="11"/>
        <v>2.1666666666666665</v>
      </c>
      <c r="BB26" s="74">
        <f t="shared" si="11"/>
        <v>2.1666666666666665</v>
      </c>
      <c r="BC26" s="74">
        <f t="shared" si="11"/>
        <v>0</v>
      </c>
      <c r="BD26" s="74">
        <f t="shared" si="11"/>
        <v>0</v>
      </c>
      <c r="BE26" s="74">
        <f t="shared" si="11"/>
        <v>0</v>
      </c>
      <c r="BF26" s="74">
        <f t="shared" si="9"/>
        <v>0</v>
      </c>
      <c r="BG26" s="74">
        <f t="shared" si="9"/>
        <v>0</v>
      </c>
      <c r="BH26" s="74">
        <f t="shared" si="9"/>
        <v>0</v>
      </c>
      <c r="BI26" s="74">
        <f t="shared" si="12"/>
        <v>0</v>
      </c>
      <c r="BJ26" s="74">
        <f t="shared" si="12"/>
        <v>0</v>
      </c>
      <c r="BK26" s="74">
        <f t="shared" si="12"/>
        <v>0</v>
      </c>
      <c r="BL26" s="74">
        <f t="shared" si="12"/>
        <v>1</v>
      </c>
      <c r="BM26" s="74">
        <f t="shared" si="12"/>
        <v>1</v>
      </c>
      <c r="BN26" s="74">
        <f t="shared" si="12"/>
        <v>1</v>
      </c>
      <c r="BO26" s="74">
        <f t="shared" si="12"/>
        <v>0</v>
      </c>
      <c r="BP26" s="74">
        <f t="shared" si="12"/>
        <v>0</v>
      </c>
      <c r="BQ26" s="74">
        <f t="shared" si="12"/>
        <v>0</v>
      </c>
      <c r="BR26" s="74">
        <f t="shared" si="12"/>
        <v>0</v>
      </c>
      <c r="BS26" s="74">
        <f t="shared" si="12"/>
        <v>0</v>
      </c>
      <c r="BT26" s="74">
        <f t="shared" si="12"/>
        <v>0</v>
      </c>
      <c r="BU26" s="74">
        <f>SUM(tblSOW8[[#This Row],[P1]:[P12]])</f>
        <v>3</v>
      </c>
      <c r="BV26" s="74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26" s="74">
        <f>IFERROR(VLOOKUP(K26,[30]Parameters!BN:BW,10,0),0)</f>
        <v>854.45565710605922</v>
      </c>
      <c r="BX26" s="74">
        <f>SUM(tblSOW8[[#This Row],[Jan 2023 USD]:[Mar 2023 USD]])</f>
        <v>0</v>
      </c>
      <c r="BY26" s="74">
        <f>SUM(tblSOW8[[#This Row],[Apr 2023 USD]:[Jun 2023 USD]])</f>
        <v>5553.9617711893843</v>
      </c>
      <c r="BZ26" s="74">
        <f>SUM(tblSOW8[[#This Row],[Jul 2023 USD]:[Sep 2023 USD]])</f>
        <v>0</v>
      </c>
      <c r="CA26" s="74">
        <f>SUM(tblSOW8[[#This Row],[Oct 2023 USD]:[Dec 2023 USD]])</f>
        <v>0</v>
      </c>
    </row>
    <row r="27" spans="1:79" s="75" customFormat="1" ht="13.5" customHeight="1">
      <c r="A27" s="67" t="str">
        <f>CONCATENATE(INDEX([30]Parameters!$U$1:$V$20,MATCH(C27,[30]Parameters!$V$1:$V$20,0),1),"/",VLOOKUP(D27,[30]Parameters!$CG$1:$CH$12,2,0),".",E27,".",H27,".",LEFT(J27,3),"-",LEFT(K27,4))</f>
        <v>B20/20.P19.405.950-T103</v>
      </c>
      <c r="B27" s="67" t="s">
        <v>160</v>
      </c>
      <c r="C27" s="67" t="s">
        <v>158</v>
      </c>
      <c r="D27" s="111" t="s">
        <v>95</v>
      </c>
      <c r="E27" s="111" t="str">
        <f>VLOOKUP(F27,[30]Parameters!P:T,4,0)</f>
        <v>P19</v>
      </c>
      <c r="F27" s="111" t="s">
        <v>159</v>
      </c>
      <c r="G27" s="67"/>
      <c r="H27" s="44">
        <f>INDEX([30]Parameters!$B:$C,MATCH(I27,[30]Parameters!$C:$C,0),1)</f>
        <v>405</v>
      </c>
      <c r="I27" s="68" t="s">
        <v>98</v>
      </c>
      <c r="J27" s="68" t="s">
        <v>94</v>
      </c>
      <c r="K27" s="68" t="s">
        <v>99</v>
      </c>
      <c r="L27" s="68"/>
      <c r="M27" s="69"/>
      <c r="N27" s="119"/>
      <c r="O27" s="119"/>
      <c r="P27" s="72">
        <v>45017</v>
      </c>
      <c r="Q27" s="72">
        <v>45107</v>
      </c>
      <c r="R27" s="67"/>
      <c r="S27" s="67">
        <f t="shared" si="7"/>
        <v>3</v>
      </c>
      <c r="T27" s="68"/>
      <c r="U27" s="68">
        <v>0</v>
      </c>
      <c r="V27" s="68">
        <v>0</v>
      </c>
      <c r="W27" s="68" t="str">
        <f>IF(AND(ISNUMBER(SEARCH("-T",tblSOW8[[#This Row],[Budget Item]])),NOT(ISNUMBER(tblSOW8[[#This Row],[Task Units]]))),"Please Enter Task Units",
IF(AND(ISNUMBER(SEARCH("-E000",tblSOW8[[#This Row],[Budget Item]])),NOT(ISNUMBER(tblSOW8[[#This Row],[% work on project]]))),"Please Enter Organic FTE",
IF(AND(ISNUMBER(SEARCH("-E999",tblSOW8[[#This Row],[Budget Item]])),NOT(ISNUMBER(tblSOW8[[#This Row],[External Expenses/Revenues USD]]))),"Please Enter External Expenses",
"")))</f>
        <v/>
      </c>
      <c r="X27" s="67">
        <f>SUM(tblSOW8[[#This Row],[Jan 2023 USD]:[Dec 2023 USD]])</f>
        <v>0</v>
      </c>
      <c r="Y27" s="74">
        <f>tblSOW8[[#This Row],[FTE Cost]]*tblSOW8[[#This Row],[% work on project]]*AK27/12+tblSOW8[[#This Row],[Task Cost]]*AW27+tblSOW8[[#This Row],[External Expenses/Revenues USD]]*BI27/tblSOW8[[#This Row],[Duration]]</f>
        <v>0</v>
      </c>
      <c r="Z27" s="74">
        <f>tblSOW8[[#This Row],[FTE Cost]]*tblSOW8[[#This Row],[% work on project]]*AL27/12+tblSOW8[[#This Row],[Task Cost]]*AX27+tblSOW8[[#This Row],[External Expenses/Revenues USD]]*BJ27/tblSOW8[[#This Row],[Duration]]</f>
        <v>0</v>
      </c>
      <c r="AA27" s="74">
        <f>tblSOW8[[#This Row],[FTE Cost]]*tblSOW8[[#This Row],[% work on project]]*AM27/12+tblSOW8[[#This Row],[Task Cost]]*AY27+tblSOW8[[#This Row],[External Expenses/Revenues USD]]*BK27/tblSOW8[[#This Row],[Duration]]</f>
        <v>0</v>
      </c>
      <c r="AB27" s="74">
        <f>tblSOW8[[#This Row],[FTE Cost]]*tblSOW8[[#This Row],[% work on project]]*AN27/12+tblSOW8[[#This Row],[Task Cost]]*AZ27+tblSOW8[[#This Row],[External Expenses/Revenues USD]]*BL27/tblSOW8[[#This Row],[Duration]]</f>
        <v>0</v>
      </c>
      <c r="AC27" s="74">
        <f>tblSOW8[[#This Row],[FTE Cost]]*tblSOW8[[#This Row],[% work on project]]*AO27/12+tblSOW8[[#This Row],[Task Cost]]*BA27+tblSOW8[[#This Row],[External Expenses/Revenues USD]]*BM27/tblSOW8[[#This Row],[Duration]]</f>
        <v>0</v>
      </c>
      <c r="AD27" s="74">
        <f>tblSOW8[[#This Row],[FTE Cost]]*tblSOW8[[#This Row],[% work on project]]*AP27/12+tblSOW8[[#This Row],[Task Cost]]*BB27+tblSOW8[[#This Row],[External Expenses/Revenues USD]]*BN27/tblSOW8[[#This Row],[Duration]]</f>
        <v>0</v>
      </c>
      <c r="AE27" s="74">
        <f>tblSOW8[[#This Row],[FTE Cost]]*tblSOW8[[#This Row],[% work on project]]*AQ27/12+tblSOW8[[#This Row],[Task Cost]]*BC27+tblSOW8[[#This Row],[External Expenses/Revenues USD]]*BO27/tblSOW8[[#This Row],[Duration]]</f>
        <v>0</v>
      </c>
      <c r="AF27" s="74">
        <f>tblSOW8[[#This Row],[FTE Cost]]*tblSOW8[[#This Row],[% work on project]]*AR27/12+tblSOW8[[#This Row],[Task Cost]]*BD27+tblSOW8[[#This Row],[External Expenses/Revenues USD]]*BP27/tblSOW8[[#This Row],[Duration]]</f>
        <v>0</v>
      </c>
      <c r="AG27" s="74">
        <f>tblSOW8[[#This Row],[FTE Cost]]*tblSOW8[[#This Row],[% work on project]]*AS27/12+tblSOW8[[#This Row],[Task Cost]]*BE27+tblSOW8[[#This Row],[External Expenses/Revenues USD]]*BQ27/tblSOW8[[#This Row],[Duration]]</f>
        <v>0</v>
      </c>
      <c r="AH27" s="74">
        <f>tblSOW8[[#This Row],[FTE Cost]]*tblSOW8[[#This Row],[% work on project]]*AT27/12+tblSOW8[[#This Row],[Task Cost]]*BF27+tblSOW8[[#This Row],[External Expenses/Revenues USD]]*BR27/tblSOW8[[#This Row],[Duration]]</f>
        <v>0</v>
      </c>
      <c r="AI27" s="74">
        <f>tblSOW8[[#This Row],[FTE Cost]]*tblSOW8[[#This Row],[% work on project]]*AU27/12+tblSOW8[[#This Row],[Task Cost]]*BG27+tblSOW8[[#This Row],[External Expenses/Revenues USD]]*BS27/tblSOW8[[#This Row],[Duration]]</f>
        <v>0</v>
      </c>
      <c r="AJ27" s="74">
        <f>tblSOW8[[#This Row],[FTE Cost]]*tblSOW8[[#This Row],[% work on project]]*AV27/12+tblSOW8[[#This Row],[Task Cost]]*BH27+tblSOW8[[#This Row],[External Expenses/Revenues USD]]*BT27/tblSOW8[[#This Row],[Duration]]</f>
        <v>0</v>
      </c>
      <c r="AK27" s="74">
        <f t="shared" si="10"/>
        <v>0</v>
      </c>
      <c r="AL27" s="74">
        <f t="shared" si="10"/>
        <v>0</v>
      </c>
      <c r="AM27" s="74">
        <f t="shared" si="10"/>
        <v>0</v>
      </c>
      <c r="AN27" s="74">
        <f t="shared" si="10"/>
        <v>1</v>
      </c>
      <c r="AO27" s="74">
        <f t="shared" si="10"/>
        <v>1</v>
      </c>
      <c r="AP27" s="74">
        <f t="shared" si="10"/>
        <v>1</v>
      </c>
      <c r="AQ27" s="74">
        <f t="shared" si="10"/>
        <v>0</v>
      </c>
      <c r="AR27" s="74">
        <f t="shared" si="10"/>
        <v>0</v>
      </c>
      <c r="AS27" s="74">
        <f t="shared" si="10"/>
        <v>0</v>
      </c>
      <c r="AT27" s="74">
        <f t="shared" si="8"/>
        <v>0</v>
      </c>
      <c r="AU27" s="74">
        <f t="shared" si="8"/>
        <v>0</v>
      </c>
      <c r="AV27" s="74">
        <f t="shared" si="8"/>
        <v>0</v>
      </c>
      <c r="AW27" s="74">
        <f t="shared" si="11"/>
        <v>0</v>
      </c>
      <c r="AX27" s="74">
        <f t="shared" si="11"/>
        <v>0</v>
      </c>
      <c r="AY27" s="74">
        <f t="shared" si="11"/>
        <v>0</v>
      </c>
      <c r="AZ27" s="74">
        <f t="shared" si="11"/>
        <v>0</v>
      </c>
      <c r="BA27" s="74">
        <f t="shared" si="11"/>
        <v>0</v>
      </c>
      <c r="BB27" s="74">
        <f t="shared" si="11"/>
        <v>0</v>
      </c>
      <c r="BC27" s="74">
        <f t="shared" si="11"/>
        <v>0</v>
      </c>
      <c r="BD27" s="74">
        <f t="shared" si="11"/>
        <v>0</v>
      </c>
      <c r="BE27" s="74">
        <f t="shared" si="11"/>
        <v>0</v>
      </c>
      <c r="BF27" s="74">
        <f t="shared" si="9"/>
        <v>0</v>
      </c>
      <c r="BG27" s="74">
        <f t="shared" si="9"/>
        <v>0</v>
      </c>
      <c r="BH27" s="74">
        <f t="shared" si="9"/>
        <v>0</v>
      </c>
      <c r="BI27" s="74">
        <f t="shared" si="12"/>
        <v>0</v>
      </c>
      <c r="BJ27" s="74">
        <f t="shared" si="12"/>
        <v>0</v>
      </c>
      <c r="BK27" s="74">
        <f t="shared" si="12"/>
        <v>0</v>
      </c>
      <c r="BL27" s="74">
        <f t="shared" si="12"/>
        <v>1</v>
      </c>
      <c r="BM27" s="74">
        <f t="shared" si="12"/>
        <v>1</v>
      </c>
      <c r="BN27" s="74">
        <f t="shared" si="12"/>
        <v>1</v>
      </c>
      <c r="BO27" s="74">
        <f t="shared" si="12"/>
        <v>0</v>
      </c>
      <c r="BP27" s="74">
        <f t="shared" si="12"/>
        <v>0</v>
      </c>
      <c r="BQ27" s="74">
        <f t="shared" si="12"/>
        <v>0</v>
      </c>
      <c r="BR27" s="74">
        <f t="shared" si="12"/>
        <v>0</v>
      </c>
      <c r="BS27" s="74">
        <f t="shared" si="12"/>
        <v>0</v>
      </c>
      <c r="BT27" s="74">
        <f t="shared" si="12"/>
        <v>0</v>
      </c>
      <c r="BU27" s="74">
        <f>SUM(tblSOW8[[#This Row],[P1]:[P12]])</f>
        <v>3</v>
      </c>
      <c r="BV27" s="74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27" s="74">
        <f>IFERROR(VLOOKUP(K27,[30]Parameters!BN:BW,10,0),0)</f>
        <v>854.45565710605922</v>
      </c>
      <c r="BX27" s="74">
        <f>SUM(tblSOW8[[#This Row],[Jan 2023 USD]:[Mar 2023 USD]])</f>
        <v>0</v>
      </c>
      <c r="BY27" s="74">
        <f>SUM(tblSOW8[[#This Row],[Apr 2023 USD]:[Jun 2023 USD]])</f>
        <v>0</v>
      </c>
      <c r="BZ27" s="74">
        <f>SUM(tblSOW8[[#This Row],[Jul 2023 USD]:[Sep 2023 USD]])</f>
        <v>0</v>
      </c>
      <c r="CA27" s="74">
        <f>SUM(tblSOW8[[#This Row],[Oct 2023 USD]:[Dec 2023 USD]])</f>
        <v>0</v>
      </c>
    </row>
    <row r="28" spans="1:79" s="75" customFormat="1" ht="13.5" customHeight="1">
      <c r="A28" s="67" t="str">
        <f>CONCATENATE(INDEX([30]Parameters!$U$1:$V$20,MATCH(C28,[30]Parameters!$V$1:$V$20,0),1),"/",VLOOKUP(D28,[30]Parameters!$CG$1:$CH$12,2,0),".",E28,".",H28,".",LEFT(J28,3),"-",LEFT(K28,4))</f>
        <v>B20/20.P192.405.950-T103</v>
      </c>
      <c r="B28" s="67" t="s">
        <v>160</v>
      </c>
      <c r="C28" s="67" t="s">
        <v>158</v>
      </c>
      <c r="D28" s="111" t="s">
        <v>95</v>
      </c>
      <c r="E28" s="111" t="str">
        <f>VLOOKUP(F28,[30]Parameters!P:T,4,0)</f>
        <v>P192</v>
      </c>
      <c r="F28" s="111" t="s">
        <v>163</v>
      </c>
      <c r="G28" s="67"/>
      <c r="H28" s="44">
        <f>INDEX([30]Parameters!$B:$C,MATCH(I28,[30]Parameters!$C:$C,0),1)</f>
        <v>405</v>
      </c>
      <c r="I28" s="68" t="s">
        <v>98</v>
      </c>
      <c r="J28" s="68" t="s">
        <v>94</v>
      </c>
      <c r="K28" s="68" t="s">
        <v>99</v>
      </c>
      <c r="L28" s="68"/>
      <c r="M28" s="69"/>
      <c r="N28" s="119"/>
      <c r="O28" s="119"/>
      <c r="P28" s="72">
        <v>45108</v>
      </c>
      <c r="Q28" s="72">
        <v>45199</v>
      </c>
      <c r="R28" s="67"/>
      <c r="S28" s="67">
        <f t="shared" si="7"/>
        <v>3</v>
      </c>
      <c r="T28" s="68"/>
      <c r="U28" s="68">
        <v>7</v>
      </c>
      <c r="V28" s="68"/>
      <c r="W28" s="68" t="str">
        <f>IF(AND(ISNUMBER(SEARCH("-T",tblSOW8[[#This Row],[Budget Item]])),NOT(ISNUMBER(tblSOW8[[#This Row],[Task Units]]))),"Please Enter Task Units",
IF(AND(ISNUMBER(SEARCH("-E000",tblSOW8[[#This Row],[Budget Item]])),NOT(ISNUMBER(tblSOW8[[#This Row],[% work on project]]))),"Please Enter Organic FTE",
IF(AND(ISNUMBER(SEARCH("-E999",tblSOW8[[#This Row],[Budget Item]])),NOT(ISNUMBER(tblSOW8[[#This Row],[External Expenses/Revenues USD]]))),"Please Enter External Expenses",
"")))</f>
        <v/>
      </c>
      <c r="X28" s="67">
        <f>SUM(tblSOW8[[#This Row],[Jan 2023 USD]:[Dec 2023 USD]])</f>
        <v>5981.1895997424153</v>
      </c>
      <c r="Y28" s="74">
        <f>tblSOW8[[#This Row],[FTE Cost]]*tblSOW8[[#This Row],[% work on project]]*AK28/12+tblSOW8[[#This Row],[Task Cost]]*AW28+tblSOW8[[#This Row],[External Expenses/Revenues USD]]*BI28/tblSOW8[[#This Row],[Duration]]</f>
        <v>0</v>
      </c>
      <c r="Z28" s="74">
        <f>tblSOW8[[#This Row],[FTE Cost]]*tblSOW8[[#This Row],[% work on project]]*AL28/12+tblSOW8[[#This Row],[Task Cost]]*AX28+tblSOW8[[#This Row],[External Expenses/Revenues USD]]*BJ28/tblSOW8[[#This Row],[Duration]]</f>
        <v>0</v>
      </c>
      <c r="AA28" s="74">
        <f>tblSOW8[[#This Row],[FTE Cost]]*tblSOW8[[#This Row],[% work on project]]*AM28/12+tblSOW8[[#This Row],[Task Cost]]*AY28+tblSOW8[[#This Row],[External Expenses/Revenues USD]]*BK28/tblSOW8[[#This Row],[Duration]]</f>
        <v>0</v>
      </c>
      <c r="AB28" s="74">
        <f>tblSOW8[[#This Row],[FTE Cost]]*tblSOW8[[#This Row],[% work on project]]*AN28/12+tblSOW8[[#This Row],[Task Cost]]*AZ28+tblSOW8[[#This Row],[External Expenses/Revenues USD]]*BL28/tblSOW8[[#This Row],[Duration]]</f>
        <v>0</v>
      </c>
      <c r="AC28" s="74">
        <f>tblSOW8[[#This Row],[FTE Cost]]*tblSOW8[[#This Row],[% work on project]]*AO28/12+tblSOW8[[#This Row],[Task Cost]]*BA28+tblSOW8[[#This Row],[External Expenses/Revenues USD]]*BM28/tblSOW8[[#This Row],[Duration]]</f>
        <v>0</v>
      </c>
      <c r="AD28" s="74">
        <f>tblSOW8[[#This Row],[FTE Cost]]*tblSOW8[[#This Row],[% work on project]]*AP28/12+tblSOW8[[#This Row],[Task Cost]]*BB28+tblSOW8[[#This Row],[External Expenses/Revenues USD]]*BN28/tblSOW8[[#This Row],[Duration]]</f>
        <v>0</v>
      </c>
      <c r="AE28" s="74">
        <f>tblSOW8[[#This Row],[FTE Cost]]*tblSOW8[[#This Row],[% work on project]]*AQ28/12+tblSOW8[[#This Row],[Task Cost]]*BC28+tblSOW8[[#This Row],[External Expenses/Revenues USD]]*BO28/tblSOW8[[#This Row],[Duration]]</f>
        <v>1993.729866580805</v>
      </c>
      <c r="AF28" s="74">
        <f>tblSOW8[[#This Row],[FTE Cost]]*tblSOW8[[#This Row],[% work on project]]*AR28/12+tblSOW8[[#This Row],[Task Cost]]*BD28+tblSOW8[[#This Row],[External Expenses/Revenues USD]]*BP28/tblSOW8[[#This Row],[Duration]]</f>
        <v>1993.729866580805</v>
      </c>
      <c r="AG28" s="74">
        <f>tblSOW8[[#This Row],[FTE Cost]]*tblSOW8[[#This Row],[% work on project]]*AS28/12+tblSOW8[[#This Row],[Task Cost]]*BE28+tblSOW8[[#This Row],[External Expenses/Revenues USD]]*BQ28/tblSOW8[[#This Row],[Duration]]</f>
        <v>1993.729866580805</v>
      </c>
      <c r="AH28" s="74">
        <f>tblSOW8[[#This Row],[FTE Cost]]*tblSOW8[[#This Row],[% work on project]]*AT28/12+tblSOW8[[#This Row],[Task Cost]]*BF28+tblSOW8[[#This Row],[External Expenses/Revenues USD]]*BR28/tblSOW8[[#This Row],[Duration]]</f>
        <v>0</v>
      </c>
      <c r="AI28" s="74">
        <f>tblSOW8[[#This Row],[FTE Cost]]*tblSOW8[[#This Row],[% work on project]]*AU28/12+tblSOW8[[#This Row],[Task Cost]]*BG28+tblSOW8[[#This Row],[External Expenses/Revenues USD]]*BS28/tblSOW8[[#This Row],[Duration]]</f>
        <v>0</v>
      </c>
      <c r="AJ28" s="74">
        <f>tblSOW8[[#This Row],[FTE Cost]]*tblSOW8[[#This Row],[% work on project]]*AV28/12+tblSOW8[[#This Row],[Task Cost]]*BH28+tblSOW8[[#This Row],[External Expenses/Revenues USD]]*BT28/tblSOW8[[#This Row],[Duration]]</f>
        <v>0</v>
      </c>
      <c r="AK28" s="74">
        <f t="shared" si="10"/>
        <v>0</v>
      </c>
      <c r="AL28" s="74">
        <f t="shared" si="10"/>
        <v>0</v>
      </c>
      <c r="AM28" s="74">
        <f t="shared" si="10"/>
        <v>0</v>
      </c>
      <c r="AN28" s="74">
        <f t="shared" si="10"/>
        <v>0</v>
      </c>
      <c r="AO28" s="74">
        <f t="shared" si="10"/>
        <v>0</v>
      </c>
      <c r="AP28" s="74">
        <f t="shared" si="10"/>
        <v>0</v>
      </c>
      <c r="AQ28" s="74">
        <f t="shared" si="10"/>
        <v>1</v>
      </c>
      <c r="AR28" s="74">
        <f t="shared" si="10"/>
        <v>1</v>
      </c>
      <c r="AS28" s="74">
        <f t="shared" si="10"/>
        <v>1</v>
      </c>
      <c r="AT28" s="74">
        <f t="shared" si="8"/>
        <v>0</v>
      </c>
      <c r="AU28" s="74">
        <f t="shared" si="8"/>
        <v>0</v>
      </c>
      <c r="AV28" s="74">
        <f t="shared" si="8"/>
        <v>0</v>
      </c>
      <c r="AW28" s="74">
        <f t="shared" si="11"/>
        <v>0</v>
      </c>
      <c r="AX28" s="74">
        <f t="shared" si="11"/>
        <v>0</v>
      </c>
      <c r="AY28" s="74">
        <f t="shared" si="11"/>
        <v>0</v>
      </c>
      <c r="AZ28" s="74">
        <f t="shared" si="11"/>
        <v>0</v>
      </c>
      <c r="BA28" s="74">
        <f t="shared" si="11"/>
        <v>0</v>
      </c>
      <c r="BB28" s="74">
        <f t="shared" si="11"/>
        <v>0</v>
      </c>
      <c r="BC28" s="74">
        <f t="shared" si="11"/>
        <v>2.3333333333333335</v>
      </c>
      <c r="BD28" s="74">
        <f t="shared" si="11"/>
        <v>2.3333333333333335</v>
      </c>
      <c r="BE28" s="74">
        <f t="shared" si="11"/>
        <v>2.3333333333333335</v>
      </c>
      <c r="BF28" s="74">
        <f t="shared" si="9"/>
        <v>0</v>
      </c>
      <c r="BG28" s="74">
        <f t="shared" si="9"/>
        <v>0</v>
      </c>
      <c r="BH28" s="74">
        <f t="shared" si="9"/>
        <v>0</v>
      </c>
      <c r="BI28" s="74">
        <f t="shared" si="12"/>
        <v>0</v>
      </c>
      <c r="BJ28" s="74">
        <f t="shared" si="12"/>
        <v>0</v>
      </c>
      <c r="BK28" s="74">
        <f t="shared" si="12"/>
        <v>0</v>
      </c>
      <c r="BL28" s="74">
        <f t="shared" si="12"/>
        <v>0</v>
      </c>
      <c r="BM28" s="74">
        <f t="shared" si="12"/>
        <v>0</v>
      </c>
      <c r="BN28" s="74">
        <f t="shared" si="12"/>
        <v>0</v>
      </c>
      <c r="BO28" s="74">
        <f t="shared" si="12"/>
        <v>1</v>
      </c>
      <c r="BP28" s="74">
        <f t="shared" si="12"/>
        <v>1</v>
      </c>
      <c r="BQ28" s="74">
        <f t="shared" si="12"/>
        <v>1</v>
      </c>
      <c r="BR28" s="74">
        <f t="shared" si="12"/>
        <v>0</v>
      </c>
      <c r="BS28" s="74">
        <f t="shared" si="12"/>
        <v>0</v>
      </c>
      <c r="BT28" s="74">
        <f t="shared" si="12"/>
        <v>0</v>
      </c>
      <c r="BU28" s="74">
        <f>SUM(tblSOW8[[#This Row],[P1]:[P12]])</f>
        <v>3</v>
      </c>
      <c r="BV28" s="74">
        <f>IFERROR(VLOOKUP(H28,[30]Parameters!CK:CN,3,0),0)</f>
        <v>0</v>
      </c>
      <c r="BW28" s="74">
        <f>IFERROR(VLOOKUP(K28,[30]Parameters!BN:BW,10,0),0)</f>
        <v>854.45565710605922</v>
      </c>
      <c r="BX28" s="74">
        <f>SUM(tblSOW8[[#This Row],[Jan 2023 USD]:[Mar 2023 USD]])</f>
        <v>0</v>
      </c>
      <c r="BY28" s="74">
        <f>SUM(tblSOW8[[#This Row],[Apr 2023 USD]:[Jun 2023 USD]])</f>
        <v>0</v>
      </c>
      <c r="BZ28" s="74">
        <f>SUM(tblSOW8[[#This Row],[Jul 2023 USD]:[Sep 2023 USD]])</f>
        <v>5981.1895997424153</v>
      </c>
      <c r="CA28" s="74">
        <f>SUM(tblSOW8[[#This Row],[Oct 2023 USD]:[Dec 2023 USD]])</f>
        <v>0</v>
      </c>
    </row>
    <row r="29" spans="1:79" s="75" customFormat="1" ht="13.5" customHeight="1">
      <c r="A29" s="67" t="str">
        <f>CONCATENATE(INDEX([30]Parameters!$U$1:$V$20,MATCH(C29,[30]Parameters!$V$1:$V$20,0),1),"/",VLOOKUP(D29,[30]Parameters!$CG$1:$CH$12,2,0),".",E29,".",H29,".",LEFT(J29,3),"-",LEFT(K29,4))</f>
        <v>B20/20.P145.405.950-T103</v>
      </c>
      <c r="B29" s="67" t="s">
        <v>160</v>
      </c>
      <c r="C29" s="67" t="s">
        <v>158</v>
      </c>
      <c r="D29" s="111" t="s">
        <v>95</v>
      </c>
      <c r="E29" s="111" t="str">
        <f>VLOOKUP(F29,[30]Parameters!P:T,4,0)</f>
        <v>P145</v>
      </c>
      <c r="F29" s="111" t="s">
        <v>161</v>
      </c>
      <c r="G29" s="67"/>
      <c r="H29" s="44">
        <f>INDEX([30]Parameters!$B:$C,MATCH(I29,[30]Parameters!$C:$C,0),1)</f>
        <v>405</v>
      </c>
      <c r="I29" s="68" t="s">
        <v>98</v>
      </c>
      <c r="J29" s="68" t="s">
        <v>94</v>
      </c>
      <c r="K29" s="68" t="s">
        <v>99</v>
      </c>
      <c r="L29" s="68"/>
      <c r="M29" s="69"/>
      <c r="N29" s="119"/>
      <c r="O29" s="119"/>
      <c r="P29" s="72">
        <v>45108</v>
      </c>
      <c r="Q29" s="72">
        <v>45199</v>
      </c>
      <c r="R29" s="67"/>
      <c r="S29" s="67">
        <f t="shared" si="7"/>
        <v>3</v>
      </c>
      <c r="T29" s="68"/>
      <c r="U29" s="68">
        <v>2.5</v>
      </c>
      <c r="V29" s="68">
        <v>0</v>
      </c>
      <c r="W29" s="68" t="str">
        <f>IF(AND(ISNUMBER(SEARCH("-T",tblSOW8[[#This Row],[Budget Item]])),NOT(ISNUMBER(tblSOW8[[#This Row],[Task Units]]))),"Please Enter Task Units",
IF(AND(ISNUMBER(SEARCH("-E000",tblSOW8[[#This Row],[Budget Item]])),NOT(ISNUMBER(tblSOW8[[#This Row],[% work on project]]))),"Please Enter Organic FTE",
IF(AND(ISNUMBER(SEARCH("-E999",tblSOW8[[#This Row],[Budget Item]])),NOT(ISNUMBER(tblSOW8[[#This Row],[External Expenses/Revenues USD]]))),"Please Enter External Expenses",
"")))</f>
        <v/>
      </c>
      <c r="X29" s="67">
        <f>SUM(tblSOW8[[#This Row],[Jan 2023 USD]:[Dec 2023 USD]])</f>
        <v>2136.1391427651479</v>
      </c>
      <c r="Y29" s="74">
        <f>tblSOW8[[#This Row],[FTE Cost]]*tblSOW8[[#This Row],[% work on project]]*AK29/12+tblSOW8[[#This Row],[Task Cost]]*AW29+tblSOW8[[#This Row],[External Expenses/Revenues USD]]*BI29/tblSOW8[[#This Row],[Duration]]</f>
        <v>0</v>
      </c>
      <c r="Z29" s="74">
        <f>tblSOW8[[#This Row],[FTE Cost]]*tblSOW8[[#This Row],[% work on project]]*AL29/12+tblSOW8[[#This Row],[Task Cost]]*AX29+tblSOW8[[#This Row],[External Expenses/Revenues USD]]*BJ29/tblSOW8[[#This Row],[Duration]]</f>
        <v>0</v>
      </c>
      <c r="AA29" s="74">
        <f>tblSOW8[[#This Row],[FTE Cost]]*tblSOW8[[#This Row],[% work on project]]*AM29/12+tblSOW8[[#This Row],[Task Cost]]*AY29+tblSOW8[[#This Row],[External Expenses/Revenues USD]]*BK29/tblSOW8[[#This Row],[Duration]]</f>
        <v>0</v>
      </c>
      <c r="AB29" s="74">
        <f>tblSOW8[[#This Row],[FTE Cost]]*tblSOW8[[#This Row],[% work on project]]*AN29/12+tblSOW8[[#This Row],[Task Cost]]*AZ29+tblSOW8[[#This Row],[External Expenses/Revenues USD]]*BL29/tblSOW8[[#This Row],[Duration]]</f>
        <v>0</v>
      </c>
      <c r="AC29" s="74">
        <f>tblSOW8[[#This Row],[FTE Cost]]*tblSOW8[[#This Row],[% work on project]]*AO29/12+tblSOW8[[#This Row],[Task Cost]]*BA29+tblSOW8[[#This Row],[External Expenses/Revenues USD]]*BM29/tblSOW8[[#This Row],[Duration]]</f>
        <v>0</v>
      </c>
      <c r="AD29" s="74">
        <f>tblSOW8[[#This Row],[FTE Cost]]*tblSOW8[[#This Row],[% work on project]]*AP29/12+tblSOW8[[#This Row],[Task Cost]]*BB29+tblSOW8[[#This Row],[External Expenses/Revenues USD]]*BN29/tblSOW8[[#This Row],[Duration]]</f>
        <v>0</v>
      </c>
      <c r="AE29" s="74">
        <f>tblSOW8[[#This Row],[FTE Cost]]*tblSOW8[[#This Row],[% work on project]]*AQ29/12+tblSOW8[[#This Row],[Task Cost]]*BC29+tblSOW8[[#This Row],[External Expenses/Revenues USD]]*BO29/tblSOW8[[#This Row],[Duration]]</f>
        <v>712.04638092171604</v>
      </c>
      <c r="AF29" s="74">
        <f>tblSOW8[[#This Row],[FTE Cost]]*tblSOW8[[#This Row],[% work on project]]*AR29/12+tblSOW8[[#This Row],[Task Cost]]*BD29+tblSOW8[[#This Row],[External Expenses/Revenues USD]]*BP29/tblSOW8[[#This Row],[Duration]]</f>
        <v>712.04638092171604</v>
      </c>
      <c r="AG29" s="74">
        <f>tblSOW8[[#This Row],[FTE Cost]]*tblSOW8[[#This Row],[% work on project]]*AS29/12+tblSOW8[[#This Row],[Task Cost]]*BE29+tblSOW8[[#This Row],[External Expenses/Revenues USD]]*BQ29/tblSOW8[[#This Row],[Duration]]</f>
        <v>712.04638092171604</v>
      </c>
      <c r="AH29" s="74">
        <f>tblSOW8[[#This Row],[FTE Cost]]*tblSOW8[[#This Row],[% work on project]]*AT29/12+tblSOW8[[#This Row],[Task Cost]]*BF29+tblSOW8[[#This Row],[External Expenses/Revenues USD]]*BR29/tblSOW8[[#This Row],[Duration]]</f>
        <v>0</v>
      </c>
      <c r="AI29" s="74">
        <f>tblSOW8[[#This Row],[FTE Cost]]*tblSOW8[[#This Row],[% work on project]]*AU29/12+tblSOW8[[#This Row],[Task Cost]]*BG29+tblSOW8[[#This Row],[External Expenses/Revenues USD]]*BS29/tblSOW8[[#This Row],[Duration]]</f>
        <v>0</v>
      </c>
      <c r="AJ29" s="74">
        <f>tblSOW8[[#This Row],[FTE Cost]]*tblSOW8[[#This Row],[% work on project]]*AV29/12+tblSOW8[[#This Row],[Task Cost]]*BH29+tblSOW8[[#This Row],[External Expenses/Revenues USD]]*BT29/tblSOW8[[#This Row],[Duration]]</f>
        <v>0</v>
      </c>
      <c r="AK29" s="74">
        <f t="shared" si="10"/>
        <v>0</v>
      </c>
      <c r="AL29" s="74">
        <f t="shared" si="10"/>
        <v>0</v>
      </c>
      <c r="AM29" s="74">
        <f t="shared" si="10"/>
        <v>0</v>
      </c>
      <c r="AN29" s="74">
        <f t="shared" si="10"/>
        <v>0</v>
      </c>
      <c r="AO29" s="74">
        <f t="shared" si="10"/>
        <v>0</v>
      </c>
      <c r="AP29" s="74">
        <f t="shared" si="10"/>
        <v>0</v>
      </c>
      <c r="AQ29" s="74">
        <f t="shared" si="10"/>
        <v>1</v>
      </c>
      <c r="AR29" s="74">
        <f t="shared" si="10"/>
        <v>1</v>
      </c>
      <c r="AS29" s="74">
        <f t="shared" si="10"/>
        <v>1</v>
      </c>
      <c r="AT29" s="74">
        <f t="shared" si="8"/>
        <v>0</v>
      </c>
      <c r="AU29" s="74">
        <f t="shared" si="8"/>
        <v>0</v>
      </c>
      <c r="AV29" s="74">
        <f t="shared" si="8"/>
        <v>0</v>
      </c>
      <c r="AW29" s="74">
        <f t="shared" si="11"/>
        <v>0</v>
      </c>
      <c r="AX29" s="74">
        <f t="shared" si="11"/>
        <v>0</v>
      </c>
      <c r="AY29" s="74">
        <f t="shared" si="11"/>
        <v>0</v>
      </c>
      <c r="AZ29" s="74">
        <f t="shared" si="11"/>
        <v>0</v>
      </c>
      <c r="BA29" s="74">
        <f t="shared" si="11"/>
        <v>0</v>
      </c>
      <c r="BB29" s="74">
        <f t="shared" si="11"/>
        <v>0</v>
      </c>
      <c r="BC29" s="74">
        <f t="shared" si="11"/>
        <v>0.83333333333333337</v>
      </c>
      <c r="BD29" s="74">
        <f t="shared" si="11"/>
        <v>0.83333333333333337</v>
      </c>
      <c r="BE29" s="74">
        <f t="shared" si="11"/>
        <v>0.83333333333333337</v>
      </c>
      <c r="BF29" s="74">
        <f t="shared" si="9"/>
        <v>0</v>
      </c>
      <c r="BG29" s="74">
        <f t="shared" si="9"/>
        <v>0</v>
      </c>
      <c r="BH29" s="74">
        <f t="shared" si="9"/>
        <v>0</v>
      </c>
      <c r="BI29" s="74">
        <f t="shared" si="12"/>
        <v>0</v>
      </c>
      <c r="BJ29" s="74">
        <f t="shared" si="12"/>
        <v>0</v>
      </c>
      <c r="BK29" s="74">
        <f t="shared" si="12"/>
        <v>0</v>
      </c>
      <c r="BL29" s="74">
        <f t="shared" si="12"/>
        <v>0</v>
      </c>
      <c r="BM29" s="74">
        <f t="shared" si="12"/>
        <v>0</v>
      </c>
      <c r="BN29" s="74">
        <f t="shared" si="12"/>
        <v>0</v>
      </c>
      <c r="BO29" s="74">
        <f t="shared" si="12"/>
        <v>1</v>
      </c>
      <c r="BP29" s="74">
        <f t="shared" si="12"/>
        <v>1</v>
      </c>
      <c r="BQ29" s="74">
        <f t="shared" si="12"/>
        <v>1</v>
      </c>
      <c r="BR29" s="74">
        <f t="shared" si="12"/>
        <v>0</v>
      </c>
      <c r="BS29" s="74">
        <f t="shared" si="12"/>
        <v>0</v>
      </c>
      <c r="BT29" s="74">
        <f t="shared" si="12"/>
        <v>0</v>
      </c>
      <c r="BU29" s="74">
        <f>SUM(tblSOW8[[#This Row],[P1]:[P12]])</f>
        <v>3</v>
      </c>
      <c r="BV29" s="74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29" s="74">
        <f>IFERROR(VLOOKUP(K29,[30]Parameters!BN:BW,10,0),0)</f>
        <v>854.45565710605922</v>
      </c>
      <c r="BX29" s="74">
        <f>SUM(tblSOW8[[#This Row],[Jan 2023 USD]:[Mar 2023 USD]])</f>
        <v>0</v>
      </c>
      <c r="BY29" s="74">
        <f>SUM(tblSOW8[[#This Row],[Apr 2023 USD]:[Jun 2023 USD]])</f>
        <v>0</v>
      </c>
      <c r="BZ29" s="74">
        <f>SUM(tblSOW8[[#This Row],[Jul 2023 USD]:[Sep 2023 USD]])</f>
        <v>2136.1391427651479</v>
      </c>
      <c r="CA29" s="74">
        <f>SUM(tblSOW8[[#This Row],[Oct 2023 USD]:[Dec 2023 USD]])</f>
        <v>0</v>
      </c>
    </row>
    <row r="30" spans="1:79" s="75" customFormat="1" ht="13.5" customHeight="1">
      <c r="A30" s="67" t="str">
        <f>CONCATENATE(INDEX([30]Parameters!$U$1:$V$20,MATCH(C30,[30]Parameters!$V$1:$V$20,0),1),"/",VLOOKUP(D30,[30]Parameters!$CG$1:$CH$12,2,0),".",E30,".",H30,".",LEFT(J30,3),"-",LEFT(K30,4))</f>
        <v>B20/20.P82.405.950-T103</v>
      </c>
      <c r="B30" s="67" t="s">
        <v>160</v>
      </c>
      <c r="C30" s="67" t="s">
        <v>158</v>
      </c>
      <c r="D30" s="111" t="s">
        <v>95</v>
      </c>
      <c r="E30" s="111" t="str">
        <f>VLOOKUP(F30,[30]Parameters!P:T,4,0)</f>
        <v>P82</v>
      </c>
      <c r="F30" s="111" t="s">
        <v>162</v>
      </c>
      <c r="G30" s="67"/>
      <c r="H30" s="44">
        <f>INDEX([30]Parameters!$B:$C,MATCH(I30,[30]Parameters!$C:$C,0),1)</f>
        <v>405</v>
      </c>
      <c r="I30" s="68" t="s">
        <v>98</v>
      </c>
      <c r="J30" s="68" t="s">
        <v>94</v>
      </c>
      <c r="K30" s="68" t="s">
        <v>99</v>
      </c>
      <c r="L30" s="68"/>
      <c r="M30" s="69"/>
      <c r="N30" s="119"/>
      <c r="O30" s="119"/>
      <c r="P30" s="72">
        <v>45108</v>
      </c>
      <c r="Q30" s="72">
        <v>45199</v>
      </c>
      <c r="R30" s="67"/>
      <c r="S30" s="67">
        <f t="shared" si="7"/>
        <v>3</v>
      </c>
      <c r="T30" s="68"/>
      <c r="U30" s="68">
        <v>65.5</v>
      </c>
      <c r="V30" s="68">
        <v>0</v>
      </c>
      <c r="W30" s="68" t="str">
        <f>IF(AND(ISNUMBER(SEARCH("-T",tblSOW8[[#This Row],[Budget Item]])),NOT(ISNUMBER(tblSOW8[[#This Row],[Task Units]]))),"Please Enter Task Units",
IF(AND(ISNUMBER(SEARCH("-E000",tblSOW8[[#This Row],[Budget Item]])),NOT(ISNUMBER(tblSOW8[[#This Row],[% work on project]]))),"Please Enter Organic FTE",
IF(AND(ISNUMBER(SEARCH("-E999",tblSOW8[[#This Row],[Budget Item]])),NOT(ISNUMBER(tblSOW8[[#This Row],[External Expenses/Revenues USD]]))),"Please Enter External Expenses",
"")))</f>
        <v/>
      </c>
      <c r="X30" s="67">
        <f>SUM(tblSOW8[[#This Row],[Jan 2023 USD]:[Dec 2023 USD]])</f>
        <v>55966.84554044687</v>
      </c>
      <c r="Y30" s="74">
        <f>tblSOW8[[#This Row],[FTE Cost]]*tblSOW8[[#This Row],[% work on project]]*AK30/12+tblSOW8[[#This Row],[Task Cost]]*AW30+tblSOW8[[#This Row],[External Expenses/Revenues USD]]*BI30/tblSOW8[[#This Row],[Duration]]</f>
        <v>0</v>
      </c>
      <c r="Z30" s="74">
        <f>tblSOW8[[#This Row],[FTE Cost]]*tblSOW8[[#This Row],[% work on project]]*AL30/12+tblSOW8[[#This Row],[Task Cost]]*AX30+tblSOW8[[#This Row],[External Expenses/Revenues USD]]*BJ30/tblSOW8[[#This Row],[Duration]]</f>
        <v>0</v>
      </c>
      <c r="AA30" s="74">
        <f>tblSOW8[[#This Row],[FTE Cost]]*tblSOW8[[#This Row],[% work on project]]*AM30/12+tblSOW8[[#This Row],[Task Cost]]*AY30+tblSOW8[[#This Row],[External Expenses/Revenues USD]]*BK30/tblSOW8[[#This Row],[Duration]]</f>
        <v>0</v>
      </c>
      <c r="AB30" s="74">
        <f>tblSOW8[[#This Row],[FTE Cost]]*tblSOW8[[#This Row],[% work on project]]*AN30/12+tblSOW8[[#This Row],[Task Cost]]*AZ30+tblSOW8[[#This Row],[External Expenses/Revenues USD]]*BL30/tblSOW8[[#This Row],[Duration]]</f>
        <v>0</v>
      </c>
      <c r="AC30" s="74">
        <f>tblSOW8[[#This Row],[FTE Cost]]*tblSOW8[[#This Row],[% work on project]]*AO30/12+tblSOW8[[#This Row],[Task Cost]]*BA30+tblSOW8[[#This Row],[External Expenses/Revenues USD]]*BM30/tblSOW8[[#This Row],[Duration]]</f>
        <v>0</v>
      </c>
      <c r="AD30" s="74">
        <f>tblSOW8[[#This Row],[FTE Cost]]*tblSOW8[[#This Row],[% work on project]]*AP30/12+tblSOW8[[#This Row],[Task Cost]]*BB30+tblSOW8[[#This Row],[External Expenses/Revenues USD]]*BN30/tblSOW8[[#This Row],[Duration]]</f>
        <v>0</v>
      </c>
      <c r="AE30" s="74">
        <f>tblSOW8[[#This Row],[FTE Cost]]*tblSOW8[[#This Row],[% work on project]]*AQ30/12+tblSOW8[[#This Row],[Task Cost]]*BC30+tblSOW8[[#This Row],[External Expenses/Revenues USD]]*BO30/tblSOW8[[#This Row],[Duration]]</f>
        <v>18655.615180148958</v>
      </c>
      <c r="AF30" s="74">
        <f>tblSOW8[[#This Row],[FTE Cost]]*tblSOW8[[#This Row],[% work on project]]*AR30/12+tblSOW8[[#This Row],[Task Cost]]*BD30+tblSOW8[[#This Row],[External Expenses/Revenues USD]]*BP30/tblSOW8[[#This Row],[Duration]]</f>
        <v>18655.615180148958</v>
      </c>
      <c r="AG30" s="74">
        <f>tblSOW8[[#This Row],[FTE Cost]]*tblSOW8[[#This Row],[% work on project]]*AS30/12+tblSOW8[[#This Row],[Task Cost]]*BE30+tblSOW8[[#This Row],[External Expenses/Revenues USD]]*BQ30/tblSOW8[[#This Row],[Duration]]</f>
        <v>18655.615180148958</v>
      </c>
      <c r="AH30" s="74">
        <f>tblSOW8[[#This Row],[FTE Cost]]*tblSOW8[[#This Row],[% work on project]]*AT30/12+tblSOW8[[#This Row],[Task Cost]]*BF30+tblSOW8[[#This Row],[External Expenses/Revenues USD]]*BR30/tblSOW8[[#This Row],[Duration]]</f>
        <v>0</v>
      </c>
      <c r="AI30" s="74">
        <f>tblSOW8[[#This Row],[FTE Cost]]*tblSOW8[[#This Row],[% work on project]]*AU30/12+tblSOW8[[#This Row],[Task Cost]]*BG30+tblSOW8[[#This Row],[External Expenses/Revenues USD]]*BS30/tblSOW8[[#This Row],[Duration]]</f>
        <v>0</v>
      </c>
      <c r="AJ30" s="74">
        <f>tblSOW8[[#This Row],[FTE Cost]]*tblSOW8[[#This Row],[% work on project]]*AV30/12+tblSOW8[[#This Row],[Task Cost]]*BH30+tblSOW8[[#This Row],[External Expenses/Revenues USD]]*BT30/tblSOW8[[#This Row],[Duration]]</f>
        <v>0</v>
      </c>
      <c r="AK30" s="74">
        <f t="shared" si="10"/>
        <v>0</v>
      </c>
      <c r="AL30" s="74">
        <f t="shared" si="10"/>
        <v>0</v>
      </c>
      <c r="AM30" s="74">
        <f t="shared" si="10"/>
        <v>0</v>
      </c>
      <c r="AN30" s="74">
        <f t="shared" si="10"/>
        <v>0</v>
      </c>
      <c r="AO30" s="74">
        <f t="shared" si="10"/>
        <v>0</v>
      </c>
      <c r="AP30" s="74">
        <f t="shared" si="10"/>
        <v>0</v>
      </c>
      <c r="AQ30" s="74">
        <f t="shared" si="10"/>
        <v>1</v>
      </c>
      <c r="AR30" s="74">
        <f t="shared" si="10"/>
        <v>1</v>
      </c>
      <c r="AS30" s="74">
        <f t="shared" si="10"/>
        <v>1</v>
      </c>
      <c r="AT30" s="74">
        <f t="shared" si="8"/>
        <v>0</v>
      </c>
      <c r="AU30" s="74">
        <f t="shared" si="8"/>
        <v>0</v>
      </c>
      <c r="AV30" s="74">
        <f t="shared" si="8"/>
        <v>0</v>
      </c>
      <c r="AW30" s="74">
        <f t="shared" si="11"/>
        <v>0</v>
      </c>
      <c r="AX30" s="74">
        <f t="shared" si="11"/>
        <v>0</v>
      </c>
      <c r="AY30" s="74">
        <f t="shared" si="11"/>
        <v>0</v>
      </c>
      <c r="AZ30" s="74">
        <f t="shared" si="11"/>
        <v>0</v>
      </c>
      <c r="BA30" s="74">
        <f t="shared" si="11"/>
        <v>0</v>
      </c>
      <c r="BB30" s="74">
        <f t="shared" si="11"/>
        <v>0</v>
      </c>
      <c r="BC30" s="74">
        <f t="shared" si="11"/>
        <v>21.833333333333332</v>
      </c>
      <c r="BD30" s="74">
        <f t="shared" si="11"/>
        <v>21.833333333333332</v>
      </c>
      <c r="BE30" s="74">
        <f t="shared" si="11"/>
        <v>21.833333333333332</v>
      </c>
      <c r="BF30" s="74">
        <f t="shared" si="9"/>
        <v>0</v>
      </c>
      <c r="BG30" s="74">
        <f t="shared" si="9"/>
        <v>0</v>
      </c>
      <c r="BH30" s="74">
        <f t="shared" si="9"/>
        <v>0</v>
      </c>
      <c r="BI30" s="74">
        <f t="shared" si="12"/>
        <v>0</v>
      </c>
      <c r="BJ30" s="74">
        <f t="shared" si="12"/>
        <v>0</v>
      </c>
      <c r="BK30" s="74">
        <f t="shared" si="12"/>
        <v>0</v>
      </c>
      <c r="BL30" s="74">
        <f t="shared" si="12"/>
        <v>0</v>
      </c>
      <c r="BM30" s="74">
        <f t="shared" si="12"/>
        <v>0</v>
      </c>
      <c r="BN30" s="74">
        <f t="shared" si="12"/>
        <v>0</v>
      </c>
      <c r="BO30" s="74">
        <f t="shared" si="12"/>
        <v>1</v>
      </c>
      <c r="BP30" s="74">
        <f t="shared" si="12"/>
        <v>1</v>
      </c>
      <c r="BQ30" s="74">
        <f t="shared" si="12"/>
        <v>1</v>
      </c>
      <c r="BR30" s="74">
        <f t="shared" si="12"/>
        <v>0</v>
      </c>
      <c r="BS30" s="74">
        <f t="shared" si="12"/>
        <v>0</v>
      </c>
      <c r="BT30" s="74">
        <f t="shared" si="12"/>
        <v>0</v>
      </c>
      <c r="BU30" s="74">
        <f>SUM(tblSOW8[[#This Row],[P1]:[P12]])</f>
        <v>3</v>
      </c>
      <c r="BV30" s="74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30" s="74">
        <f>IFERROR(VLOOKUP(K30,[30]Parameters!BN:BW,10,0),0)</f>
        <v>854.45565710605922</v>
      </c>
      <c r="BX30" s="74">
        <f>SUM(tblSOW8[[#This Row],[Jan 2023 USD]:[Mar 2023 USD]])</f>
        <v>0</v>
      </c>
      <c r="BY30" s="74">
        <f>SUM(tblSOW8[[#This Row],[Apr 2023 USD]:[Jun 2023 USD]])</f>
        <v>0</v>
      </c>
      <c r="BZ30" s="74">
        <f>SUM(tblSOW8[[#This Row],[Jul 2023 USD]:[Sep 2023 USD]])</f>
        <v>55966.84554044687</v>
      </c>
      <c r="CA30" s="74">
        <f>SUM(tblSOW8[[#This Row],[Oct 2023 USD]:[Dec 2023 USD]])</f>
        <v>0</v>
      </c>
    </row>
    <row r="31" spans="1:79" s="75" customFormat="1" ht="13.5" customHeight="1">
      <c r="A31" s="67" t="str">
        <f>CONCATENATE(INDEX([30]Parameters!$U$1:$V$20,MATCH(C31,[30]Parameters!$V$1:$V$20,0),1),"/",VLOOKUP(D31,[30]Parameters!$CG$1:$CH$12,2,0),".",E31,".",H31,".",LEFT(J31,3),"-",LEFT(K31,4))</f>
        <v>B20/20.P19.405.950-T103</v>
      </c>
      <c r="B31" s="67" t="s">
        <v>160</v>
      </c>
      <c r="C31" s="67" t="s">
        <v>158</v>
      </c>
      <c r="D31" s="111" t="s">
        <v>95</v>
      </c>
      <c r="E31" s="111" t="str">
        <f>VLOOKUP(F31,[30]Parameters!P:T,4,0)</f>
        <v>P19</v>
      </c>
      <c r="F31" s="111" t="s">
        <v>159</v>
      </c>
      <c r="G31" s="67"/>
      <c r="H31" s="44">
        <f>INDEX([30]Parameters!$B:$C,MATCH(I31,[30]Parameters!$C:$C,0),1)</f>
        <v>405</v>
      </c>
      <c r="I31" s="68" t="s">
        <v>98</v>
      </c>
      <c r="J31" s="68" t="s">
        <v>94</v>
      </c>
      <c r="K31" s="68" t="s">
        <v>99</v>
      </c>
      <c r="L31" s="68"/>
      <c r="M31" s="69"/>
      <c r="N31" s="119"/>
      <c r="O31" s="119"/>
      <c r="P31" s="72">
        <v>45108</v>
      </c>
      <c r="Q31" s="72">
        <v>45199</v>
      </c>
      <c r="R31" s="67"/>
      <c r="S31" s="67">
        <f t="shared" si="7"/>
        <v>3</v>
      </c>
      <c r="T31" s="68"/>
      <c r="U31" s="68">
        <v>0</v>
      </c>
      <c r="V31" s="68">
        <v>0</v>
      </c>
      <c r="W31" s="68" t="str">
        <f>IF(AND(ISNUMBER(SEARCH("-T",tblSOW8[[#This Row],[Budget Item]])),NOT(ISNUMBER(tblSOW8[[#This Row],[Task Units]]))),"Please Enter Task Units",
IF(AND(ISNUMBER(SEARCH("-E000",tblSOW8[[#This Row],[Budget Item]])),NOT(ISNUMBER(tblSOW8[[#This Row],[% work on project]]))),"Please Enter Organic FTE",
IF(AND(ISNUMBER(SEARCH("-E999",tblSOW8[[#This Row],[Budget Item]])),NOT(ISNUMBER(tblSOW8[[#This Row],[External Expenses/Revenues USD]]))),"Please Enter External Expenses",
"")))</f>
        <v/>
      </c>
      <c r="X31" s="67">
        <f>SUM(tblSOW8[[#This Row],[Jan 2023 USD]:[Dec 2023 USD]])</f>
        <v>0</v>
      </c>
      <c r="Y31" s="74">
        <f>tblSOW8[[#This Row],[FTE Cost]]*tblSOW8[[#This Row],[% work on project]]*AK31/12+tblSOW8[[#This Row],[Task Cost]]*AW31+tblSOW8[[#This Row],[External Expenses/Revenues USD]]*BI31/tblSOW8[[#This Row],[Duration]]</f>
        <v>0</v>
      </c>
      <c r="Z31" s="74">
        <f>tblSOW8[[#This Row],[FTE Cost]]*tblSOW8[[#This Row],[% work on project]]*AL31/12+tblSOW8[[#This Row],[Task Cost]]*AX31+tblSOW8[[#This Row],[External Expenses/Revenues USD]]*BJ31/tblSOW8[[#This Row],[Duration]]</f>
        <v>0</v>
      </c>
      <c r="AA31" s="74">
        <f>tblSOW8[[#This Row],[FTE Cost]]*tblSOW8[[#This Row],[% work on project]]*AM31/12+tblSOW8[[#This Row],[Task Cost]]*AY31+tblSOW8[[#This Row],[External Expenses/Revenues USD]]*BK31/tblSOW8[[#This Row],[Duration]]</f>
        <v>0</v>
      </c>
      <c r="AB31" s="74">
        <f>tblSOW8[[#This Row],[FTE Cost]]*tblSOW8[[#This Row],[% work on project]]*AN31/12+tblSOW8[[#This Row],[Task Cost]]*AZ31+tblSOW8[[#This Row],[External Expenses/Revenues USD]]*BL31/tblSOW8[[#This Row],[Duration]]</f>
        <v>0</v>
      </c>
      <c r="AC31" s="74">
        <f>tblSOW8[[#This Row],[FTE Cost]]*tblSOW8[[#This Row],[% work on project]]*AO31/12+tblSOW8[[#This Row],[Task Cost]]*BA31+tblSOW8[[#This Row],[External Expenses/Revenues USD]]*BM31/tblSOW8[[#This Row],[Duration]]</f>
        <v>0</v>
      </c>
      <c r="AD31" s="74">
        <f>tblSOW8[[#This Row],[FTE Cost]]*tblSOW8[[#This Row],[% work on project]]*AP31/12+tblSOW8[[#This Row],[Task Cost]]*BB31+tblSOW8[[#This Row],[External Expenses/Revenues USD]]*BN31/tblSOW8[[#This Row],[Duration]]</f>
        <v>0</v>
      </c>
      <c r="AE31" s="74">
        <f>tblSOW8[[#This Row],[FTE Cost]]*tblSOW8[[#This Row],[% work on project]]*AQ31/12+tblSOW8[[#This Row],[Task Cost]]*BC31+tblSOW8[[#This Row],[External Expenses/Revenues USD]]*BO31/tblSOW8[[#This Row],[Duration]]</f>
        <v>0</v>
      </c>
      <c r="AF31" s="74">
        <f>tblSOW8[[#This Row],[FTE Cost]]*tblSOW8[[#This Row],[% work on project]]*AR31/12+tblSOW8[[#This Row],[Task Cost]]*BD31+tblSOW8[[#This Row],[External Expenses/Revenues USD]]*BP31/tblSOW8[[#This Row],[Duration]]</f>
        <v>0</v>
      </c>
      <c r="AG31" s="74">
        <f>tblSOW8[[#This Row],[FTE Cost]]*tblSOW8[[#This Row],[% work on project]]*AS31/12+tblSOW8[[#This Row],[Task Cost]]*BE31+tblSOW8[[#This Row],[External Expenses/Revenues USD]]*BQ31/tblSOW8[[#This Row],[Duration]]</f>
        <v>0</v>
      </c>
      <c r="AH31" s="74">
        <f>tblSOW8[[#This Row],[FTE Cost]]*tblSOW8[[#This Row],[% work on project]]*AT31/12+tblSOW8[[#This Row],[Task Cost]]*BF31+tblSOW8[[#This Row],[External Expenses/Revenues USD]]*BR31/tblSOW8[[#This Row],[Duration]]</f>
        <v>0</v>
      </c>
      <c r="AI31" s="74">
        <f>tblSOW8[[#This Row],[FTE Cost]]*tblSOW8[[#This Row],[% work on project]]*AU31/12+tblSOW8[[#This Row],[Task Cost]]*BG31+tblSOW8[[#This Row],[External Expenses/Revenues USD]]*BS31/tblSOW8[[#This Row],[Duration]]</f>
        <v>0</v>
      </c>
      <c r="AJ31" s="74">
        <f>tblSOW8[[#This Row],[FTE Cost]]*tblSOW8[[#This Row],[% work on project]]*AV31/12+tblSOW8[[#This Row],[Task Cost]]*BH31+tblSOW8[[#This Row],[External Expenses/Revenues USD]]*BT31/tblSOW8[[#This Row],[Duration]]</f>
        <v>0</v>
      </c>
      <c r="AK31" s="74">
        <f t="shared" si="10"/>
        <v>0</v>
      </c>
      <c r="AL31" s="74">
        <f t="shared" si="10"/>
        <v>0</v>
      </c>
      <c r="AM31" s="74">
        <f t="shared" si="10"/>
        <v>0</v>
      </c>
      <c r="AN31" s="74">
        <f t="shared" si="10"/>
        <v>0</v>
      </c>
      <c r="AO31" s="74">
        <f t="shared" si="10"/>
        <v>0</v>
      </c>
      <c r="AP31" s="74">
        <f t="shared" si="10"/>
        <v>0</v>
      </c>
      <c r="AQ31" s="74">
        <f t="shared" si="10"/>
        <v>1</v>
      </c>
      <c r="AR31" s="74">
        <f t="shared" si="10"/>
        <v>1</v>
      </c>
      <c r="AS31" s="74">
        <f t="shared" si="10"/>
        <v>1</v>
      </c>
      <c r="AT31" s="74">
        <f t="shared" si="8"/>
        <v>0</v>
      </c>
      <c r="AU31" s="74">
        <f t="shared" si="8"/>
        <v>0</v>
      </c>
      <c r="AV31" s="74">
        <f t="shared" si="8"/>
        <v>0</v>
      </c>
      <c r="AW31" s="74">
        <f t="shared" si="11"/>
        <v>0</v>
      </c>
      <c r="AX31" s="74">
        <f t="shared" si="11"/>
        <v>0</v>
      </c>
      <c r="AY31" s="74">
        <f t="shared" si="11"/>
        <v>0</v>
      </c>
      <c r="AZ31" s="74">
        <f t="shared" si="11"/>
        <v>0</v>
      </c>
      <c r="BA31" s="74">
        <f t="shared" si="11"/>
        <v>0</v>
      </c>
      <c r="BB31" s="74">
        <f t="shared" si="11"/>
        <v>0</v>
      </c>
      <c r="BC31" s="74">
        <f t="shared" si="11"/>
        <v>0</v>
      </c>
      <c r="BD31" s="74">
        <f t="shared" si="11"/>
        <v>0</v>
      </c>
      <c r="BE31" s="74">
        <f t="shared" si="11"/>
        <v>0</v>
      </c>
      <c r="BF31" s="74">
        <f t="shared" si="9"/>
        <v>0</v>
      </c>
      <c r="BG31" s="74">
        <f t="shared" si="9"/>
        <v>0</v>
      </c>
      <c r="BH31" s="74">
        <f t="shared" si="9"/>
        <v>0</v>
      </c>
      <c r="BI31" s="74">
        <f t="shared" si="12"/>
        <v>0</v>
      </c>
      <c r="BJ31" s="74">
        <f t="shared" si="12"/>
        <v>0</v>
      </c>
      <c r="BK31" s="74">
        <f t="shared" si="12"/>
        <v>0</v>
      </c>
      <c r="BL31" s="74">
        <f t="shared" si="12"/>
        <v>0</v>
      </c>
      <c r="BM31" s="74">
        <f t="shared" si="12"/>
        <v>0</v>
      </c>
      <c r="BN31" s="74">
        <f t="shared" si="12"/>
        <v>0</v>
      </c>
      <c r="BO31" s="74">
        <f t="shared" si="12"/>
        <v>1</v>
      </c>
      <c r="BP31" s="74">
        <f t="shared" si="12"/>
        <v>1</v>
      </c>
      <c r="BQ31" s="74">
        <f t="shared" si="12"/>
        <v>1</v>
      </c>
      <c r="BR31" s="74">
        <f t="shared" si="12"/>
        <v>0</v>
      </c>
      <c r="BS31" s="74">
        <f t="shared" si="12"/>
        <v>0</v>
      </c>
      <c r="BT31" s="74">
        <f t="shared" si="12"/>
        <v>0</v>
      </c>
      <c r="BU31" s="74">
        <f>SUM(tblSOW8[[#This Row],[P1]:[P12]])</f>
        <v>3</v>
      </c>
      <c r="BV31" s="74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31" s="74">
        <f>IFERROR(VLOOKUP(K31,[30]Parameters!BN:BW,10,0),0)</f>
        <v>854.45565710605922</v>
      </c>
      <c r="BX31" s="74">
        <f>SUM(tblSOW8[[#This Row],[Jan 2023 USD]:[Mar 2023 USD]])</f>
        <v>0</v>
      </c>
      <c r="BY31" s="74">
        <f>SUM(tblSOW8[[#This Row],[Apr 2023 USD]:[Jun 2023 USD]])</f>
        <v>0</v>
      </c>
      <c r="BZ31" s="74">
        <f>SUM(tblSOW8[[#This Row],[Jul 2023 USD]:[Sep 2023 USD]])</f>
        <v>0</v>
      </c>
      <c r="CA31" s="74">
        <f>SUM(tblSOW8[[#This Row],[Oct 2023 USD]:[Dec 2023 USD]])</f>
        <v>0</v>
      </c>
    </row>
    <row r="32" spans="1:79" s="75" customFormat="1" ht="13.5" customHeight="1">
      <c r="A32" s="67" t="str">
        <f>CONCATENATE(INDEX([30]Parameters!$U$1:$V$20,MATCH(C32,[30]Parameters!$V$1:$V$20,0),1),"/",VLOOKUP(D32,[30]Parameters!$CG$1:$CH$12,2,0),".",E32,".",H32,".",LEFT(J32,3),"-",LEFT(K32,4))</f>
        <v>B20/20.P192.405.950-T103</v>
      </c>
      <c r="B32" s="67" t="s">
        <v>160</v>
      </c>
      <c r="C32" s="67" t="s">
        <v>158</v>
      </c>
      <c r="D32" s="111" t="s">
        <v>95</v>
      </c>
      <c r="E32" s="111" t="str">
        <f>VLOOKUP(F32,[30]Parameters!P:T,4,0)</f>
        <v>P192</v>
      </c>
      <c r="F32" s="111" t="s">
        <v>163</v>
      </c>
      <c r="G32" s="67"/>
      <c r="H32" s="44">
        <f>INDEX([30]Parameters!$B:$C,MATCH(I32,[30]Parameters!$C:$C,0),1)</f>
        <v>405</v>
      </c>
      <c r="I32" s="68" t="s">
        <v>98</v>
      </c>
      <c r="J32" s="68" t="s">
        <v>94</v>
      </c>
      <c r="K32" s="68" t="s">
        <v>99</v>
      </c>
      <c r="L32" s="68"/>
      <c r="M32" s="69"/>
      <c r="N32" s="119"/>
      <c r="O32" s="119"/>
      <c r="P32" s="72">
        <v>45200</v>
      </c>
      <c r="Q32" s="72">
        <v>45291</v>
      </c>
      <c r="R32" s="67"/>
      <c r="S32" s="67">
        <f t="shared" si="7"/>
        <v>3</v>
      </c>
      <c r="T32" s="68"/>
      <c r="U32" s="68">
        <v>0</v>
      </c>
      <c r="V32" s="68"/>
      <c r="W32" s="68" t="str">
        <f>IF(AND(ISNUMBER(SEARCH("-T",tblSOW8[[#This Row],[Budget Item]])),NOT(ISNUMBER(tblSOW8[[#This Row],[Task Units]]))),"Please Enter Task Units",
IF(AND(ISNUMBER(SEARCH("-E000",tblSOW8[[#This Row],[Budget Item]])),NOT(ISNUMBER(tblSOW8[[#This Row],[% work on project]]))),"Please Enter Organic FTE",
IF(AND(ISNUMBER(SEARCH("-E999",tblSOW8[[#This Row],[Budget Item]])),NOT(ISNUMBER(tblSOW8[[#This Row],[External Expenses/Revenues USD]]))),"Please Enter External Expenses",
"")))</f>
        <v/>
      </c>
      <c r="X32" s="67">
        <f>SUM(tblSOW8[[#This Row],[Jan 2023 USD]:[Dec 2023 USD]])</f>
        <v>0</v>
      </c>
      <c r="Y32" s="74">
        <f>tblSOW8[[#This Row],[FTE Cost]]*tblSOW8[[#This Row],[% work on project]]*AK32/12+tblSOW8[[#This Row],[Task Cost]]*AW32+tblSOW8[[#This Row],[External Expenses/Revenues USD]]*BI32/tblSOW8[[#This Row],[Duration]]</f>
        <v>0</v>
      </c>
      <c r="Z32" s="74">
        <f>tblSOW8[[#This Row],[FTE Cost]]*tblSOW8[[#This Row],[% work on project]]*AL32/12+tblSOW8[[#This Row],[Task Cost]]*AX32+tblSOW8[[#This Row],[External Expenses/Revenues USD]]*BJ32/tblSOW8[[#This Row],[Duration]]</f>
        <v>0</v>
      </c>
      <c r="AA32" s="74">
        <f>tblSOW8[[#This Row],[FTE Cost]]*tblSOW8[[#This Row],[% work on project]]*AM32/12+tblSOW8[[#This Row],[Task Cost]]*AY32+tblSOW8[[#This Row],[External Expenses/Revenues USD]]*BK32/tblSOW8[[#This Row],[Duration]]</f>
        <v>0</v>
      </c>
      <c r="AB32" s="74">
        <f>tblSOW8[[#This Row],[FTE Cost]]*tblSOW8[[#This Row],[% work on project]]*AN32/12+tblSOW8[[#This Row],[Task Cost]]*AZ32+tblSOW8[[#This Row],[External Expenses/Revenues USD]]*BL32/tblSOW8[[#This Row],[Duration]]</f>
        <v>0</v>
      </c>
      <c r="AC32" s="74">
        <f>tblSOW8[[#This Row],[FTE Cost]]*tblSOW8[[#This Row],[% work on project]]*AO32/12+tblSOW8[[#This Row],[Task Cost]]*BA32+tblSOW8[[#This Row],[External Expenses/Revenues USD]]*BM32/tblSOW8[[#This Row],[Duration]]</f>
        <v>0</v>
      </c>
      <c r="AD32" s="74">
        <f>tblSOW8[[#This Row],[FTE Cost]]*tblSOW8[[#This Row],[% work on project]]*AP32/12+tblSOW8[[#This Row],[Task Cost]]*BB32+tblSOW8[[#This Row],[External Expenses/Revenues USD]]*BN32/tblSOW8[[#This Row],[Duration]]</f>
        <v>0</v>
      </c>
      <c r="AE32" s="74">
        <f>tblSOW8[[#This Row],[FTE Cost]]*tblSOW8[[#This Row],[% work on project]]*AQ32/12+tblSOW8[[#This Row],[Task Cost]]*BC32+tblSOW8[[#This Row],[External Expenses/Revenues USD]]*BO32/tblSOW8[[#This Row],[Duration]]</f>
        <v>0</v>
      </c>
      <c r="AF32" s="74">
        <f>tblSOW8[[#This Row],[FTE Cost]]*tblSOW8[[#This Row],[% work on project]]*AR32/12+tblSOW8[[#This Row],[Task Cost]]*BD32+tblSOW8[[#This Row],[External Expenses/Revenues USD]]*BP32/tblSOW8[[#This Row],[Duration]]</f>
        <v>0</v>
      </c>
      <c r="AG32" s="74">
        <f>tblSOW8[[#This Row],[FTE Cost]]*tblSOW8[[#This Row],[% work on project]]*AS32/12+tblSOW8[[#This Row],[Task Cost]]*BE32+tblSOW8[[#This Row],[External Expenses/Revenues USD]]*BQ32/tblSOW8[[#This Row],[Duration]]</f>
        <v>0</v>
      </c>
      <c r="AH32" s="74">
        <f>tblSOW8[[#This Row],[FTE Cost]]*tblSOW8[[#This Row],[% work on project]]*AT32/12+tblSOW8[[#This Row],[Task Cost]]*BF32+tblSOW8[[#This Row],[External Expenses/Revenues USD]]*BR32/tblSOW8[[#This Row],[Duration]]</f>
        <v>0</v>
      </c>
      <c r="AI32" s="74">
        <f>tblSOW8[[#This Row],[FTE Cost]]*tblSOW8[[#This Row],[% work on project]]*AU32/12+tblSOW8[[#This Row],[Task Cost]]*BG32+tblSOW8[[#This Row],[External Expenses/Revenues USD]]*BS32/tblSOW8[[#This Row],[Duration]]</f>
        <v>0</v>
      </c>
      <c r="AJ32" s="74">
        <f>tblSOW8[[#This Row],[FTE Cost]]*tblSOW8[[#This Row],[% work on project]]*AV32/12+tblSOW8[[#This Row],[Task Cost]]*BH32+tblSOW8[[#This Row],[External Expenses/Revenues USD]]*BT32/tblSOW8[[#This Row],[Duration]]</f>
        <v>0</v>
      </c>
      <c r="AK32" s="74">
        <f t="shared" si="10"/>
        <v>0</v>
      </c>
      <c r="AL32" s="74">
        <f t="shared" si="10"/>
        <v>0</v>
      </c>
      <c r="AM32" s="74">
        <f t="shared" si="10"/>
        <v>0</v>
      </c>
      <c r="AN32" s="74">
        <f t="shared" si="10"/>
        <v>0</v>
      </c>
      <c r="AO32" s="74">
        <f t="shared" si="10"/>
        <v>0</v>
      </c>
      <c r="AP32" s="74">
        <f t="shared" si="10"/>
        <v>0</v>
      </c>
      <c r="AQ32" s="74">
        <f t="shared" si="10"/>
        <v>0</v>
      </c>
      <c r="AR32" s="74">
        <f t="shared" si="10"/>
        <v>0</v>
      </c>
      <c r="AS32" s="74">
        <f t="shared" si="10"/>
        <v>0</v>
      </c>
      <c r="AT32" s="74">
        <f t="shared" si="8"/>
        <v>1</v>
      </c>
      <c r="AU32" s="74">
        <f t="shared" si="8"/>
        <v>1</v>
      </c>
      <c r="AV32" s="74">
        <f t="shared" si="8"/>
        <v>1</v>
      </c>
      <c r="AW32" s="74">
        <f t="shared" si="11"/>
        <v>0</v>
      </c>
      <c r="AX32" s="74">
        <f t="shared" si="11"/>
        <v>0</v>
      </c>
      <c r="AY32" s="74">
        <f t="shared" si="11"/>
        <v>0</v>
      </c>
      <c r="AZ32" s="74">
        <f t="shared" si="11"/>
        <v>0</v>
      </c>
      <c r="BA32" s="74">
        <f t="shared" si="11"/>
        <v>0</v>
      </c>
      <c r="BB32" s="74">
        <f t="shared" si="11"/>
        <v>0</v>
      </c>
      <c r="BC32" s="74">
        <f t="shared" si="11"/>
        <v>0</v>
      </c>
      <c r="BD32" s="74">
        <f t="shared" si="11"/>
        <v>0</v>
      </c>
      <c r="BE32" s="74">
        <f t="shared" si="11"/>
        <v>0</v>
      </c>
      <c r="BF32" s="74">
        <f t="shared" si="9"/>
        <v>0</v>
      </c>
      <c r="BG32" s="74">
        <f t="shared" si="9"/>
        <v>0</v>
      </c>
      <c r="BH32" s="74">
        <f t="shared" si="9"/>
        <v>0</v>
      </c>
      <c r="BI32" s="74">
        <f t="shared" si="12"/>
        <v>0</v>
      </c>
      <c r="BJ32" s="74">
        <f t="shared" si="12"/>
        <v>0</v>
      </c>
      <c r="BK32" s="74">
        <f t="shared" si="12"/>
        <v>0</v>
      </c>
      <c r="BL32" s="74">
        <f t="shared" si="12"/>
        <v>0</v>
      </c>
      <c r="BM32" s="74">
        <f t="shared" si="12"/>
        <v>0</v>
      </c>
      <c r="BN32" s="74">
        <f t="shared" si="12"/>
        <v>0</v>
      </c>
      <c r="BO32" s="74">
        <f t="shared" si="12"/>
        <v>0</v>
      </c>
      <c r="BP32" s="74">
        <f t="shared" si="12"/>
        <v>0</v>
      </c>
      <c r="BQ32" s="74">
        <f t="shared" si="12"/>
        <v>0</v>
      </c>
      <c r="BR32" s="74">
        <f t="shared" si="12"/>
        <v>1</v>
      </c>
      <c r="BS32" s="74">
        <f t="shared" si="12"/>
        <v>1</v>
      </c>
      <c r="BT32" s="74">
        <f t="shared" si="12"/>
        <v>1</v>
      </c>
      <c r="BU32" s="74">
        <f>SUM(tblSOW8[[#This Row],[P1]:[P12]])</f>
        <v>3</v>
      </c>
      <c r="BV32" s="74">
        <f>IFERROR(VLOOKUP(H32,[30]Parameters!CK:CN,3,0),0)</f>
        <v>0</v>
      </c>
      <c r="BW32" s="74">
        <f>IFERROR(VLOOKUP(K32,[30]Parameters!BN:BW,10,0),0)</f>
        <v>854.45565710605922</v>
      </c>
      <c r="BX32" s="74">
        <f>SUM(tblSOW8[[#This Row],[Jan 2023 USD]:[Mar 2023 USD]])</f>
        <v>0</v>
      </c>
      <c r="BY32" s="74">
        <f>SUM(tblSOW8[[#This Row],[Apr 2023 USD]:[Jun 2023 USD]])</f>
        <v>0</v>
      </c>
      <c r="BZ32" s="74">
        <f>SUM(tblSOW8[[#This Row],[Jul 2023 USD]:[Sep 2023 USD]])</f>
        <v>0</v>
      </c>
      <c r="CA32" s="74">
        <f>SUM(tblSOW8[[#This Row],[Oct 2023 USD]:[Dec 2023 USD]])</f>
        <v>0</v>
      </c>
    </row>
    <row r="33" spans="1:79" s="75" customFormat="1" ht="13.5" customHeight="1">
      <c r="A33" s="67" t="str">
        <f>CONCATENATE(INDEX([30]Parameters!$U$1:$V$20,MATCH(C33,[30]Parameters!$V$1:$V$20,0),1),"/",VLOOKUP(D33,[30]Parameters!$CG$1:$CH$12,2,0),".",E33,".",H33,".",LEFT(J33,3),"-",LEFT(K33,4))</f>
        <v>B20/20.P145.405.950-T103</v>
      </c>
      <c r="B33" s="67" t="s">
        <v>160</v>
      </c>
      <c r="C33" s="67" t="s">
        <v>158</v>
      </c>
      <c r="D33" s="111" t="s">
        <v>95</v>
      </c>
      <c r="E33" s="111" t="str">
        <f>VLOOKUP(F33,[30]Parameters!P:T,4,0)</f>
        <v>P145</v>
      </c>
      <c r="F33" s="111" t="s">
        <v>161</v>
      </c>
      <c r="G33" s="67"/>
      <c r="H33" s="44">
        <f>INDEX([30]Parameters!$B:$C,MATCH(I33,[30]Parameters!$C:$C,0),1)</f>
        <v>405</v>
      </c>
      <c r="I33" s="68" t="s">
        <v>98</v>
      </c>
      <c r="J33" s="68" t="s">
        <v>94</v>
      </c>
      <c r="K33" s="68" t="s">
        <v>99</v>
      </c>
      <c r="L33" s="68"/>
      <c r="M33" s="69"/>
      <c r="N33" s="119"/>
      <c r="O33" s="119"/>
      <c r="P33" s="72">
        <v>45200</v>
      </c>
      <c r="Q33" s="72">
        <v>45291</v>
      </c>
      <c r="R33" s="67"/>
      <c r="S33" s="67">
        <f t="shared" si="7"/>
        <v>3</v>
      </c>
      <c r="T33" s="68"/>
      <c r="U33" s="68">
        <v>7.5</v>
      </c>
      <c r="V33" s="68">
        <v>0</v>
      </c>
      <c r="W33" s="68" t="str">
        <f>IF(AND(ISNUMBER(SEARCH("-T",tblSOW8[[#This Row],[Budget Item]])),NOT(ISNUMBER(tblSOW8[[#This Row],[Task Units]]))),"Please Enter Task Units",
IF(AND(ISNUMBER(SEARCH("-E000",tblSOW8[[#This Row],[Budget Item]])),NOT(ISNUMBER(tblSOW8[[#This Row],[% work on project]]))),"Please Enter Organic FTE",
IF(AND(ISNUMBER(SEARCH("-E999",tblSOW8[[#This Row],[Budget Item]])),NOT(ISNUMBER(tblSOW8[[#This Row],[External Expenses/Revenues USD]]))),"Please Enter External Expenses",
"")))</f>
        <v/>
      </c>
      <c r="X33" s="67">
        <f>SUM(tblSOW8[[#This Row],[Jan 2023 USD]:[Dec 2023 USD]])</f>
        <v>6408.4174282954436</v>
      </c>
      <c r="Y33" s="74">
        <f>tblSOW8[[#This Row],[FTE Cost]]*tblSOW8[[#This Row],[% work on project]]*AK33/12+tblSOW8[[#This Row],[Task Cost]]*AW33+tblSOW8[[#This Row],[External Expenses/Revenues USD]]*BI33/tblSOW8[[#This Row],[Duration]]</f>
        <v>0</v>
      </c>
      <c r="Z33" s="74">
        <f>tblSOW8[[#This Row],[FTE Cost]]*tblSOW8[[#This Row],[% work on project]]*AL33/12+tblSOW8[[#This Row],[Task Cost]]*AX33+tblSOW8[[#This Row],[External Expenses/Revenues USD]]*BJ33/tblSOW8[[#This Row],[Duration]]</f>
        <v>0</v>
      </c>
      <c r="AA33" s="74">
        <f>tblSOW8[[#This Row],[FTE Cost]]*tblSOW8[[#This Row],[% work on project]]*AM33/12+tblSOW8[[#This Row],[Task Cost]]*AY33+tblSOW8[[#This Row],[External Expenses/Revenues USD]]*BK33/tblSOW8[[#This Row],[Duration]]</f>
        <v>0</v>
      </c>
      <c r="AB33" s="74">
        <f>tblSOW8[[#This Row],[FTE Cost]]*tblSOW8[[#This Row],[% work on project]]*AN33/12+tblSOW8[[#This Row],[Task Cost]]*AZ33+tblSOW8[[#This Row],[External Expenses/Revenues USD]]*BL33/tblSOW8[[#This Row],[Duration]]</f>
        <v>0</v>
      </c>
      <c r="AC33" s="74">
        <f>tblSOW8[[#This Row],[FTE Cost]]*tblSOW8[[#This Row],[% work on project]]*AO33/12+tblSOW8[[#This Row],[Task Cost]]*BA33+tblSOW8[[#This Row],[External Expenses/Revenues USD]]*BM33/tblSOW8[[#This Row],[Duration]]</f>
        <v>0</v>
      </c>
      <c r="AD33" s="74">
        <f>tblSOW8[[#This Row],[FTE Cost]]*tblSOW8[[#This Row],[% work on project]]*AP33/12+tblSOW8[[#This Row],[Task Cost]]*BB33+tblSOW8[[#This Row],[External Expenses/Revenues USD]]*BN33/tblSOW8[[#This Row],[Duration]]</f>
        <v>0</v>
      </c>
      <c r="AE33" s="74">
        <f>tblSOW8[[#This Row],[FTE Cost]]*tblSOW8[[#This Row],[% work on project]]*AQ33/12+tblSOW8[[#This Row],[Task Cost]]*BC33+tblSOW8[[#This Row],[External Expenses/Revenues USD]]*BO33/tblSOW8[[#This Row],[Duration]]</f>
        <v>0</v>
      </c>
      <c r="AF33" s="74">
        <f>tblSOW8[[#This Row],[FTE Cost]]*tblSOW8[[#This Row],[% work on project]]*AR33/12+tblSOW8[[#This Row],[Task Cost]]*BD33+tblSOW8[[#This Row],[External Expenses/Revenues USD]]*BP33/tblSOW8[[#This Row],[Duration]]</f>
        <v>0</v>
      </c>
      <c r="AG33" s="74">
        <f>tblSOW8[[#This Row],[FTE Cost]]*tblSOW8[[#This Row],[% work on project]]*AS33/12+tblSOW8[[#This Row],[Task Cost]]*BE33+tblSOW8[[#This Row],[External Expenses/Revenues USD]]*BQ33/tblSOW8[[#This Row],[Duration]]</f>
        <v>0</v>
      </c>
      <c r="AH33" s="74">
        <f>tblSOW8[[#This Row],[FTE Cost]]*tblSOW8[[#This Row],[% work on project]]*AT33/12+tblSOW8[[#This Row],[Task Cost]]*BF33+tblSOW8[[#This Row],[External Expenses/Revenues USD]]*BR33/tblSOW8[[#This Row],[Duration]]</f>
        <v>2136.1391427651479</v>
      </c>
      <c r="AI33" s="74">
        <f>tblSOW8[[#This Row],[FTE Cost]]*tblSOW8[[#This Row],[% work on project]]*AU33/12+tblSOW8[[#This Row],[Task Cost]]*BG33+tblSOW8[[#This Row],[External Expenses/Revenues USD]]*BS33/tblSOW8[[#This Row],[Duration]]</f>
        <v>2136.1391427651479</v>
      </c>
      <c r="AJ33" s="74">
        <f>tblSOW8[[#This Row],[FTE Cost]]*tblSOW8[[#This Row],[% work on project]]*AV33/12+tblSOW8[[#This Row],[Task Cost]]*BH33+tblSOW8[[#This Row],[External Expenses/Revenues USD]]*BT33/tblSOW8[[#This Row],[Duration]]</f>
        <v>2136.1391427651479</v>
      </c>
      <c r="AK33" s="74">
        <f t="shared" si="10"/>
        <v>0</v>
      </c>
      <c r="AL33" s="74">
        <f t="shared" si="10"/>
        <v>0</v>
      </c>
      <c r="AM33" s="74">
        <f t="shared" si="10"/>
        <v>0</v>
      </c>
      <c r="AN33" s="74">
        <f t="shared" si="10"/>
        <v>0</v>
      </c>
      <c r="AO33" s="74">
        <f t="shared" si="10"/>
        <v>0</v>
      </c>
      <c r="AP33" s="74">
        <f t="shared" si="10"/>
        <v>0</v>
      </c>
      <c r="AQ33" s="74">
        <f t="shared" si="10"/>
        <v>0</v>
      </c>
      <c r="AR33" s="74">
        <f t="shared" si="10"/>
        <v>0</v>
      </c>
      <c r="AS33" s="74">
        <f t="shared" si="10"/>
        <v>0</v>
      </c>
      <c r="AT33" s="74">
        <f t="shared" si="8"/>
        <v>1</v>
      </c>
      <c r="AU33" s="74">
        <f t="shared" si="8"/>
        <v>1</v>
      </c>
      <c r="AV33" s="74">
        <f t="shared" si="8"/>
        <v>1</v>
      </c>
      <c r="AW33" s="74">
        <f t="shared" si="11"/>
        <v>0</v>
      </c>
      <c r="AX33" s="74">
        <f t="shared" si="11"/>
        <v>0</v>
      </c>
      <c r="AY33" s="74">
        <f t="shared" si="11"/>
        <v>0</v>
      </c>
      <c r="AZ33" s="74">
        <f t="shared" si="11"/>
        <v>0</v>
      </c>
      <c r="BA33" s="74">
        <f t="shared" si="11"/>
        <v>0</v>
      </c>
      <c r="BB33" s="74">
        <f t="shared" si="11"/>
        <v>0</v>
      </c>
      <c r="BC33" s="74">
        <f t="shared" si="11"/>
        <v>0</v>
      </c>
      <c r="BD33" s="74">
        <f t="shared" si="11"/>
        <v>0</v>
      </c>
      <c r="BE33" s="74">
        <f t="shared" si="11"/>
        <v>0</v>
      </c>
      <c r="BF33" s="74">
        <f t="shared" si="9"/>
        <v>2.5</v>
      </c>
      <c r="BG33" s="74">
        <f t="shared" si="9"/>
        <v>2.5</v>
      </c>
      <c r="BH33" s="74">
        <f t="shared" si="9"/>
        <v>2.5</v>
      </c>
      <c r="BI33" s="74">
        <f t="shared" si="12"/>
        <v>0</v>
      </c>
      <c r="BJ33" s="74">
        <f t="shared" si="12"/>
        <v>0</v>
      </c>
      <c r="BK33" s="74">
        <f t="shared" si="12"/>
        <v>0</v>
      </c>
      <c r="BL33" s="74">
        <f t="shared" si="12"/>
        <v>0</v>
      </c>
      <c r="BM33" s="74">
        <f t="shared" si="12"/>
        <v>0</v>
      </c>
      <c r="BN33" s="74">
        <f t="shared" si="12"/>
        <v>0</v>
      </c>
      <c r="BO33" s="74">
        <f t="shared" si="12"/>
        <v>0</v>
      </c>
      <c r="BP33" s="74">
        <f t="shared" si="12"/>
        <v>0</v>
      </c>
      <c r="BQ33" s="74">
        <f t="shared" si="12"/>
        <v>0</v>
      </c>
      <c r="BR33" s="74">
        <f t="shared" si="12"/>
        <v>1</v>
      </c>
      <c r="BS33" s="74">
        <f t="shared" si="12"/>
        <v>1</v>
      </c>
      <c r="BT33" s="74">
        <f t="shared" si="12"/>
        <v>1</v>
      </c>
      <c r="BU33" s="74">
        <f>SUM(tblSOW8[[#This Row],[P1]:[P12]])</f>
        <v>3</v>
      </c>
      <c r="BV33" s="74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33" s="74">
        <f>IFERROR(VLOOKUP(K33,[30]Parameters!BN:BW,10,0),0)</f>
        <v>854.45565710605922</v>
      </c>
      <c r="BX33" s="74">
        <f>SUM(tblSOW8[[#This Row],[Jan 2023 USD]:[Mar 2023 USD]])</f>
        <v>0</v>
      </c>
      <c r="BY33" s="74">
        <f>SUM(tblSOW8[[#This Row],[Apr 2023 USD]:[Jun 2023 USD]])</f>
        <v>0</v>
      </c>
      <c r="BZ33" s="74">
        <f>SUM(tblSOW8[[#This Row],[Jul 2023 USD]:[Sep 2023 USD]])</f>
        <v>0</v>
      </c>
      <c r="CA33" s="74">
        <f>SUM(tblSOW8[[#This Row],[Oct 2023 USD]:[Dec 2023 USD]])</f>
        <v>6408.4174282954436</v>
      </c>
    </row>
    <row r="34" spans="1:79" s="75" customFormat="1" ht="13.5" customHeight="1">
      <c r="A34" s="67" t="str">
        <f>CONCATENATE(INDEX([30]Parameters!$U$1:$V$20,MATCH(C34,[30]Parameters!$V$1:$V$20,0),1),"/",VLOOKUP(D34,[30]Parameters!$CG$1:$CH$12,2,0),".",E34,".",H34,".",LEFT(J34,3),"-",LEFT(K34,4))</f>
        <v>B20/20.P82.405.950-T103</v>
      </c>
      <c r="B34" s="67" t="s">
        <v>160</v>
      </c>
      <c r="C34" s="67" t="s">
        <v>158</v>
      </c>
      <c r="D34" s="111" t="s">
        <v>95</v>
      </c>
      <c r="E34" s="111" t="str">
        <f>VLOOKUP(F34,[30]Parameters!P:T,4,0)</f>
        <v>P82</v>
      </c>
      <c r="F34" s="111" t="s">
        <v>162</v>
      </c>
      <c r="G34" s="67"/>
      <c r="H34" s="44">
        <f>INDEX([30]Parameters!$B:$C,MATCH(I34,[30]Parameters!$C:$C,0),1)</f>
        <v>405</v>
      </c>
      <c r="I34" s="68" t="s">
        <v>98</v>
      </c>
      <c r="J34" s="68" t="s">
        <v>94</v>
      </c>
      <c r="K34" s="68" t="s">
        <v>99</v>
      </c>
      <c r="L34" s="68"/>
      <c r="M34" s="69"/>
      <c r="N34" s="119"/>
      <c r="O34" s="119"/>
      <c r="P34" s="72">
        <v>45200</v>
      </c>
      <c r="Q34" s="72">
        <v>45291</v>
      </c>
      <c r="R34" s="67"/>
      <c r="S34" s="67">
        <f t="shared" si="7"/>
        <v>3</v>
      </c>
      <c r="T34" s="68"/>
      <c r="U34" s="68">
        <v>95.5</v>
      </c>
      <c r="V34" s="68">
        <v>0</v>
      </c>
      <c r="W34" s="68" t="str">
        <f>IF(AND(ISNUMBER(SEARCH("-T",tblSOW8[[#This Row],[Budget Item]])),NOT(ISNUMBER(tblSOW8[[#This Row],[Task Units]]))),"Please Enter Task Units",
IF(AND(ISNUMBER(SEARCH("-E000",tblSOW8[[#This Row],[Budget Item]])),NOT(ISNUMBER(tblSOW8[[#This Row],[% work on project]]))),"Please Enter Organic FTE",
IF(AND(ISNUMBER(SEARCH("-E999",tblSOW8[[#This Row],[Budget Item]])),NOT(ISNUMBER(tblSOW8[[#This Row],[External Expenses/Revenues USD]]))),"Please Enter External Expenses",
"")))</f>
        <v/>
      </c>
      <c r="X34" s="67">
        <f>SUM(tblSOW8[[#This Row],[Jan 2023 USD]:[Dec 2023 USD]])</f>
        <v>81600.515253628648</v>
      </c>
      <c r="Y34" s="74">
        <f>tblSOW8[[#This Row],[FTE Cost]]*tblSOW8[[#This Row],[% work on project]]*AK34/12+tblSOW8[[#This Row],[Task Cost]]*AW34+tblSOW8[[#This Row],[External Expenses/Revenues USD]]*BI34/tblSOW8[[#This Row],[Duration]]</f>
        <v>0</v>
      </c>
      <c r="Z34" s="74">
        <f>tblSOW8[[#This Row],[FTE Cost]]*tblSOW8[[#This Row],[% work on project]]*AL34/12+tblSOW8[[#This Row],[Task Cost]]*AX34+tblSOW8[[#This Row],[External Expenses/Revenues USD]]*BJ34/tblSOW8[[#This Row],[Duration]]</f>
        <v>0</v>
      </c>
      <c r="AA34" s="74">
        <f>tblSOW8[[#This Row],[FTE Cost]]*tblSOW8[[#This Row],[% work on project]]*AM34/12+tblSOW8[[#This Row],[Task Cost]]*AY34+tblSOW8[[#This Row],[External Expenses/Revenues USD]]*BK34/tblSOW8[[#This Row],[Duration]]</f>
        <v>0</v>
      </c>
      <c r="AB34" s="74">
        <f>tblSOW8[[#This Row],[FTE Cost]]*tblSOW8[[#This Row],[% work on project]]*AN34/12+tblSOW8[[#This Row],[Task Cost]]*AZ34+tblSOW8[[#This Row],[External Expenses/Revenues USD]]*BL34/tblSOW8[[#This Row],[Duration]]</f>
        <v>0</v>
      </c>
      <c r="AC34" s="74">
        <f>tblSOW8[[#This Row],[FTE Cost]]*tblSOW8[[#This Row],[% work on project]]*AO34/12+tblSOW8[[#This Row],[Task Cost]]*BA34+tblSOW8[[#This Row],[External Expenses/Revenues USD]]*BM34/tblSOW8[[#This Row],[Duration]]</f>
        <v>0</v>
      </c>
      <c r="AD34" s="74">
        <f>tblSOW8[[#This Row],[FTE Cost]]*tblSOW8[[#This Row],[% work on project]]*AP34/12+tblSOW8[[#This Row],[Task Cost]]*BB34+tblSOW8[[#This Row],[External Expenses/Revenues USD]]*BN34/tblSOW8[[#This Row],[Duration]]</f>
        <v>0</v>
      </c>
      <c r="AE34" s="74">
        <f>tblSOW8[[#This Row],[FTE Cost]]*tblSOW8[[#This Row],[% work on project]]*AQ34/12+tblSOW8[[#This Row],[Task Cost]]*BC34+tblSOW8[[#This Row],[External Expenses/Revenues USD]]*BO34/tblSOW8[[#This Row],[Duration]]</f>
        <v>0</v>
      </c>
      <c r="AF34" s="74">
        <f>tblSOW8[[#This Row],[FTE Cost]]*tblSOW8[[#This Row],[% work on project]]*AR34/12+tblSOW8[[#This Row],[Task Cost]]*BD34+tblSOW8[[#This Row],[External Expenses/Revenues USD]]*BP34/tblSOW8[[#This Row],[Duration]]</f>
        <v>0</v>
      </c>
      <c r="AG34" s="74">
        <f>tblSOW8[[#This Row],[FTE Cost]]*tblSOW8[[#This Row],[% work on project]]*AS34/12+tblSOW8[[#This Row],[Task Cost]]*BE34+tblSOW8[[#This Row],[External Expenses/Revenues USD]]*BQ34/tblSOW8[[#This Row],[Duration]]</f>
        <v>0</v>
      </c>
      <c r="AH34" s="74">
        <f>tblSOW8[[#This Row],[FTE Cost]]*tblSOW8[[#This Row],[% work on project]]*AT34/12+tblSOW8[[#This Row],[Task Cost]]*BF34+tblSOW8[[#This Row],[External Expenses/Revenues USD]]*BR34/tblSOW8[[#This Row],[Duration]]</f>
        <v>27200.171751209549</v>
      </c>
      <c r="AI34" s="74">
        <f>tblSOW8[[#This Row],[FTE Cost]]*tblSOW8[[#This Row],[% work on project]]*AU34/12+tblSOW8[[#This Row],[Task Cost]]*BG34+tblSOW8[[#This Row],[External Expenses/Revenues USD]]*BS34/tblSOW8[[#This Row],[Duration]]</f>
        <v>27200.171751209549</v>
      </c>
      <c r="AJ34" s="74">
        <f>tblSOW8[[#This Row],[FTE Cost]]*tblSOW8[[#This Row],[% work on project]]*AV34/12+tblSOW8[[#This Row],[Task Cost]]*BH34+tblSOW8[[#This Row],[External Expenses/Revenues USD]]*BT34/tblSOW8[[#This Row],[Duration]]</f>
        <v>27200.171751209549</v>
      </c>
      <c r="AK34" s="74">
        <f t="shared" si="10"/>
        <v>0</v>
      </c>
      <c r="AL34" s="74">
        <f t="shared" si="10"/>
        <v>0</v>
      </c>
      <c r="AM34" s="74">
        <f t="shared" si="10"/>
        <v>0</v>
      </c>
      <c r="AN34" s="74">
        <f t="shared" si="10"/>
        <v>0</v>
      </c>
      <c r="AO34" s="74">
        <f t="shared" si="10"/>
        <v>0</v>
      </c>
      <c r="AP34" s="74">
        <f t="shared" si="10"/>
        <v>0</v>
      </c>
      <c r="AQ34" s="74">
        <f t="shared" si="10"/>
        <v>0</v>
      </c>
      <c r="AR34" s="74">
        <f t="shared" si="10"/>
        <v>0</v>
      </c>
      <c r="AS34" s="74">
        <f t="shared" si="10"/>
        <v>0</v>
      </c>
      <c r="AT34" s="74">
        <f t="shared" si="8"/>
        <v>1</v>
      </c>
      <c r="AU34" s="74">
        <f t="shared" si="8"/>
        <v>1</v>
      </c>
      <c r="AV34" s="74">
        <f t="shared" si="8"/>
        <v>1</v>
      </c>
      <c r="AW34" s="74">
        <f t="shared" si="11"/>
        <v>0</v>
      </c>
      <c r="AX34" s="74">
        <f t="shared" si="11"/>
        <v>0</v>
      </c>
      <c r="AY34" s="74">
        <f t="shared" si="11"/>
        <v>0</v>
      </c>
      <c r="AZ34" s="74">
        <f t="shared" si="11"/>
        <v>0</v>
      </c>
      <c r="BA34" s="74">
        <f t="shared" si="11"/>
        <v>0</v>
      </c>
      <c r="BB34" s="74">
        <f t="shared" si="11"/>
        <v>0</v>
      </c>
      <c r="BC34" s="74">
        <f t="shared" si="11"/>
        <v>0</v>
      </c>
      <c r="BD34" s="74">
        <f t="shared" si="11"/>
        <v>0</v>
      </c>
      <c r="BE34" s="74">
        <f t="shared" si="11"/>
        <v>0</v>
      </c>
      <c r="BF34" s="74">
        <f t="shared" si="9"/>
        <v>31.833333333333332</v>
      </c>
      <c r="BG34" s="74">
        <f t="shared" si="9"/>
        <v>31.833333333333332</v>
      </c>
      <c r="BH34" s="74">
        <f t="shared" si="9"/>
        <v>31.833333333333332</v>
      </c>
      <c r="BI34" s="74">
        <f t="shared" si="12"/>
        <v>0</v>
      </c>
      <c r="BJ34" s="74">
        <f t="shared" si="12"/>
        <v>0</v>
      </c>
      <c r="BK34" s="74">
        <f t="shared" si="12"/>
        <v>0</v>
      </c>
      <c r="BL34" s="74">
        <f t="shared" si="12"/>
        <v>0</v>
      </c>
      <c r="BM34" s="74">
        <f t="shared" si="12"/>
        <v>0</v>
      </c>
      <c r="BN34" s="74">
        <f t="shared" si="12"/>
        <v>0</v>
      </c>
      <c r="BO34" s="74">
        <f t="shared" si="12"/>
        <v>0</v>
      </c>
      <c r="BP34" s="74">
        <f t="shared" si="12"/>
        <v>0</v>
      </c>
      <c r="BQ34" s="74">
        <f t="shared" si="12"/>
        <v>0</v>
      </c>
      <c r="BR34" s="74">
        <f t="shared" si="12"/>
        <v>1</v>
      </c>
      <c r="BS34" s="74">
        <f t="shared" si="12"/>
        <v>1</v>
      </c>
      <c r="BT34" s="74">
        <f t="shared" si="12"/>
        <v>1</v>
      </c>
      <c r="BU34" s="74">
        <f>SUM(tblSOW8[[#This Row],[P1]:[P12]])</f>
        <v>3</v>
      </c>
      <c r="BV34" s="74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34" s="74">
        <f>IFERROR(VLOOKUP(K34,[30]Parameters!BN:BW,10,0),0)</f>
        <v>854.45565710605922</v>
      </c>
      <c r="BX34" s="74">
        <f>SUM(tblSOW8[[#This Row],[Jan 2023 USD]:[Mar 2023 USD]])</f>
        <v>0</v>
      </c>
      <c r="BY34" s="74">
        <f>SUM(tblSOW8[[#This Row],[Apr 2023 USD]:[Jun 2023 USD]])</f>
        <v>0</v>
      </c>
      <c r="BZ34" s="74">
        <f>SUM(tblSOW8[[#This Row],[Jul 2023 USD]:[Sep 2023 USD]])</f>
        <v>0</v>
      </c>
      <c r="CA34" s="74">
        <f>SUM(tblSOW8[[#This Row],[Oct 2023 USD]:[Dec 2023 USD]])</f>
        <v>81600.515253628648</v>
      </c>
    </row>
    <row r="35" spans="1:79" s="75" customFormat="1" ht="13.5" customHeight="1">
      <c r="A35" s="67" t="str">
        <f>CONCATENATE(INDEX([30]Parameters!$U$1:$V$20,MATCH(C35,[30]Parameters!$V$1:$V$20,0),1),"/",VLOOKUP(D35,[30]Parameters!$CG$1:$CH$12,2,0),".",E35,".",H35,".",LEFT(J35,3),"-",LEFT(K35,4))</f>
        <v>B20/20.P19.405.950-T103</v>
      </c>
      <c r="B35" s="67" t="s">
        <v>160</v>
      </c>
      <c r="C35" s="67" t="s">
        <v>158</v>
      </c>
      <c r="D35" s="111" t="s">
        <v>95</v>
      </c>
      <c r="E35" s="111" t="str">
        <f>VLOOKUP(F35,[30]Parameters!P:T,4,0)</f>
        <v>P19</v>
      </c>
      <c r="F35" s="111" t="s">
        <v>159</v>
      </c>
      <c r="G35" s="67"/>
      <c r="H35" s="44">
        <f>INDEX([30]Parameters!$B:$C,MATCH(I35,[30]Parameters!$C:$C,0),1)</f>
        <v>405</v>
      </c>
      <c r="I35" s="68" t="s">
        <v>98</v>
      </c>
      <c r="J35" s="68" t="s">
        <v>94</v>
      </c>
      <c r="K35" s="68" t="s">
        <v>99</v>
      </c>
      <c r="L35" s="68"/>
      <c r="M35" s="69"/>
      <c r="N35" s="119"/>
      <c r="O35" s="119"/>
      <c r="P35" s="72">
        <v>45200</v>
      </c>
      <c r="Q35" s="72">
        <v>45291</v>
      </c>
      <c r="R35" s="67"/>
      <c r="S35" s="67">
        <f t="shared" si="7"/>
        <v>3</v>
      </c>
      <c r="T35" s="68"/>
      <c r="U35" s="68">
        <v>0</v>
      </c>
      <c r="V35" s="68">
        <v>0</v>
      </c>
      <c r="W35" s="68" t="str">
        <f>IF(AND(ISNUMBER(SEARCH("-T",tblSOW8[[#This Row],[Budget Item]])),NOT(ISNUMBER(tblSOW8[[#This Row],[Task Units]]))),"Please Enter Task Units",
IF(AND(ISNUMBER(SEARCH("-E000",tblSOW8[[#This Row],[Budget Item]])),NOT(ISNUMBER(tblSOW8[[#This Row],[% work on project]]))),"Please Enter Organic FTE",
IF(AND(ISNUMBER(SEARCH("-E999",tblSOW8[[#This Row],[Budget Item]])),NOT(ISNUMBER(tblSOW8[[#This Row],[External Expenses/Revenues USD]]))),"Please Enter External Expenses",
"")))</f>
        <v/>
      </c>
      <c r="X35" s="67">
        <f>SUM(tblSOW8[[#This Row],[Jan 2023 USD]:[Dec 2023 USD]])</f>
        <v>0</v>
      </c>
      <c r="Y35" s="74">
        <f>tblSOW8[[#This Row],[FTE Cost]]*tblSOW8[[#This Row],[% work on project]]*AK35/12+tblSOW8[[#This Row],[Task Cost]]*AW35+tblSOW8[[#This Row],[External Expenses/Revenues USD]]*BI35/tblSOW8[[#This Row],[Duration]]</f>
        <v>0</v>
      </c>
      <c r="Z35" s="74">
        <f>tblSOW8[[#This Row],[FTE Cost]]*tblSOW8[[#This Row],[% work on project]]*AL35/12+tblSOW8[[#This Row],[Task Cost]]*AX35+tblSOW8[[#This Row],[External Expenses/Revenues USD]]*BJ35/tblSOW8[[#This Row],[Duration]]</f>
        <v>0</v>
      </c>
      <c r="AA35" s="74">
        <f>tblSOW8[[#This Row],[FTE Cost]]*tblSOW8[[#This Row],[% work on project]]*AM35/12+tblSOW8[[#This Row],[Task Cost]]*AY35+tblSOW8[[#This Row],[External Expenses/Revenues USD]]*BK35/tblSOW8[[#This Row],[Duration]]</f>
        <v>0</v>
      </c>
      <c r="AB35" s="74">
        <f>tblSOW8[[#This Row],[FTE Cost]]*tblSOW8[[#This Row],[% work on project]]*AN35/12+tblSOW8[[#This Row],[Task Cost]]*AZ35+tblSOW8[[#This Row],[External Expenses/Revenues USD]]*BL35/tblSOW8[[#This Row],[Duration]]</f>
        <v>0</v>
      </c>
      <c r="AC35" s="74">
        <f>tblSOW8[[#This Row],[FTE Cost]]*tblSOW8[[#This Row],[% work on project]]*AO35/12+tblSOW8[[#This Row],[Task Cost]]*BA35+tblSOW8[[#This Row],[External Expenses/Revenues USD]]*BM35/tblSOW8[[#This Row],[Duration]]</f>
        <v>0</v>
      </c>
      <c r="AD35" s="74">
        <f>tblSOW8[[#This Row],[FTE Cost]]*tblSOW8[[#This Row],[% work on project]]*AP35/12+tblSOW8[[#This Row],[Task Cost]]*BB35+tblSOW8[[#This Row],[External Expenses/Revenues USD]]*BN35/tblSOW8[[#This Row],[Duration]]</f>
        <v>0</v>
      </c>
      <c r="AE35" s="74">
        <f>tblSOW8[[#This Row],[FTE Cost]]*tblSOW8[[#This Row],[% work on project]]*AQ35/12+tblSOW8[[#This Row],[Task Cost]]*BC35+tblSOW8[[#This Row],[External Expenses/Revenues USD]]*BO35/tblSOW8[[#This Row],[Duration]]</f>
        <v>0</v>
      </c>
      <c r="AF35" s="74">
        <f>tblSOW8[[#This Row],[FTE Cost]]*tblSOW8[[#This Row],[% work on project]]*AR35/12+tblSOW8[[#This Row],[Task Cost]]*BD35+tblSOW8[[#This Row],[External Expenses/Revenues USD]]*BP35/tblSOW8[[#This Row],[Duration]]</f>
        <v>0</v>
      </c>
      <c r="AG35" s="74">
        <f>tblSOW8[[#This Row],[FTE Cost]]*tblSOW8[[#This Row],[% work on project]]*AS35/12+tblSOW8[[#This Row],[Task Cost]]*BE35+tblSOW8[[#This Row],[External Expenses/Revenues USD]]*BQ35/tblSOW8[[#This Row],[Duration]]</f>
        <v>0</v>
      </c>
      <c r="AH35" s="74">
        <f>tblSOW8[[#This Row],[FTE Cost]]*tblSOW8[[#This Row],[% work on project]]*AT35/12+tblSOW8[[#This Row],[Task Cost]]*BF35+tblSOW8[[#This Row],[External Expenses/Revenues USD]]*BR35/tblSOW8[[#This Row],[Duration]]</f>
        <v>0</v>
      </c>
      <c r="AI35" s="74">
        <f>tblSOW8[[#This Row],[FTE Cost]]*tblSOW8[[#This Row],[% work on project]]*AU35/12+tblSOW8[[#This Row],[Task Cost]]*BG35+tblSOW8[[#This Row],[External Expenses/Revenues USD]]*BS35/tblSOW8[[#This Row],[Duration]]</f>
        <v>0</v>
      </c>
      <c r="AJ35" s="74">
        <f>tblSOW8[[#This Row],[FTE Cost]]*tblSOW8[[#This Row],[% work on project]]*AV35/12+tblSOW8[[#This Row],[Task Cost]]*BH35+tblSOW8[[#This Row],[External Expenses/Revenues USD]]*BT35/tblSOW8[[#This Row],[Duration]]</f>
        <v>0</v>
      </c>
      <c r="AK35" s="74">
        <f t="shared" si="10"/>
        <v>0</v>
      </c>
      <c r="AL35" s="74">
        <f t="shared" si="10"/>
        <v>0</v>
      </c>
      <c r="AM35" s="74">
        <f t="shared" si="10"/>
        <v>0</v>
      </c>
      <c r="AN35" s="74">
        <f t="shared" si="10"/>
        <v>0</v>
      </c>
      <c r="AO35" s="74">
        <f t="shared" si="10"/>
        <v>0</v>
      </c>
      <c r="AP35" s="74">
        <f t="shared" si="10"/>
        <v>0</v>
      </c>
      <c r="AQ35" s="74">
        <f t="shared" si="10"/>
        <v>0</v>
      </c>
      <c r="AR35" s="74">
        <f t="shared" si="10"/>
        <v>0</v>
      </c>
      <c r="AS35" s="74">
        <f t="shared" si="10"/>
        <v>0</v>
      </c>
      <c r="AT35" s="74">
        <f t="shared" si="8"/>
        <v>1</v>
      </c>
      <c r="AU35" s="74">
        <f t="shared" si="8"/>
        <v>1</v>
      </c>
      <c r="AV35" s="74">
        <f t="shared" si="8"/>
        <v>1</v>
      </c>
      <c r="AW35" s="74">
        <f t="shared" si="11"/>
        <v>0</v>
      </c>
      <c r="AX35" s="74">
        <f t="shared" si="11"/>
        <v>0</v>
      </c>
      <c r="AY35" s="74">
        <f t="shared" si="11"/>
        <v>0</v>
      </c>
      <c r="AZ35" s="74">
        <f t="shared" si="11"/>
        <v>0</v>
      </c>
      <c r="BA35" s="74">
        <f t="shared" si="11"/>
        <v>0</v>
      </c>
      <c r="BB35" s="74">
        <f t="shared" si="11"/>
        <v>0</v>
      </c>
      <c r="BC35" s="74">
        <f t="shared" si="11"/>
        <v>0</v>
      </c>
      <c r="BD35" s="74">
        <f t="shared" si="11"/>
        <v>0</v>
      </c>
      <c r="BE35" s="74">
        <f t="shared" si="11"/>
        <v>0</v>
      </c>
      <c r="BF35" s="74">
        <f t="shared" si="9"/>
        <v>0</v>
      </c>
      <c r="BG35" s="74">
        <f t="shared" si="9"/>
        <v>0</v>
      </c>
      <c r="BH35" s="74">
        <f t="shared" si="9"/>
        <v>0</v>
      </c>
      <c r="BI35" s="74">
        <f t="shared" si="12"/>
        <v>0</v>
      </c>
      <c r="BJ35" s="74">
        <f t="shared" si="12"/>
        <v>0</v>
      </c>
      <c r="BK35" s="74">
        <f t="shared" si="12"/>
        <v>0</v>
      </c>
      <c r="BL35" s="74">
        <f t="shared" si="12"/>
        <v>0</v>
      </c>
      <c r="BM35" s="74">
        <f t="shared" si="12"/>
        <v>0</v>
      </c>
      <c r="BN35" s="74">
        <f t="shared" si="12"/>
        <v>0</v>
      </c>
      <c r="BO35" s="74">
        <f t="shared" si="12"/>
        <v>0</v>
      </c>
      <c r="BP35" s="74">
        <f t="shared" si="12"/>
        <v>0</v>
      </c>
      <c r="BQ35" s="74">
        <f t="shared" si="12"/>
        <v>0</v>
      </c>
      <c r="BR35" s="74">
        <f t="shared" si="12"/>
        <v>1</v>
      </c>
      <c r="BS35" s="74">
        <f t="shared" si="12"/>
        <v>1</v>
      </c>
      <c r="BT35" s="74">
        <f t="shared" si="12"/>
        <v>1</v>
      </c>
      <c r="BU35" s="74">
        <f>SUM(tblSOW8[[#This Row],[P1]:[P12]])</f>
        <v>3</v>
      </c>
      <c r="BV35" s="74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35" s="74">
        <f>IFERROR(VLOOKUP(K35,[30]Parameters!BN:BW,10,0),0)</f>
        <v>854.45565710605922</v>
      </c>
      <c r="BX35" s="74">
        <f>SUM(tblSOW8[[#This Row],[Jan 2023 USD]:[Mar 2023 USD]])</f>
        <v>0</v>
      </c>
      <c r="BY35" s="74">
        <f>SUM(tblSOW8[[#This Row],[Apr 2023 USD]:[Jun 2023 USD]])</f>
        <v>0</v>
      </c>
      <c r="BZ35" s="74">
        <f>SUM(tblSOW8[[#This Row],[Jul 2023 USD]:[Sep 2023 USD]])</f>
        <v>0</v>
      </c>
      <c r="CA35" s="74">
        <f>SUM(tblSOW8[[#This Row],[Oct 2023 USD]:[Dec 2023 USD]])</f>
        <v>0</v>
      </c>
    </row>
    <row r="36" spans="1:79" s="36" customFormat="1" ht="13.5" customHeight="1">
      <c r="A36" s="5"/>
      <c r="B36" s="5"/>
      <c r="C36" s="5"/>
      <c r="D36" s="39"/>
      <c r="E36" s="40"/>
      <c r="F36" s="39"/>
      <c r="G36" s="5"/>
      <c r="H36" s="44"/>
      <c r="I36" s="3"/>
      <c r="J36" s="3"/>
      <c r="K36" s="3"/>
      <c r="L36" s="85"/>
      <c r="M36" s="45"/>
      <c r="N36" s="85"/>
      <c r="O36" s="42"/>
      <c r="P36" s="8"/>
      <c r="Q36" s="8"/>
      <c r="R36" s="5"/>
      <c r="S36" s="5"/>
      <c r="T36" s="3"/>
      <c r="U36" s="3"/>
      <c r="V36" s="3"/>
      <c r="W36" s="3"/>
      <c r="X36" s="5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>
        <f t="shared" ref="BP36:BT68" si="13">IF($S36&gt;0,IF(AND(MONTH($P36)&lt;=BP$1,MONTH($Q36)&gt;=BP$1),1,0),0)</f>
        <v>0</v>
      </c>
      <c r="BQ36" s="43">
        <f t="shared" si="13"/>
        <v>0</v>
      </c>
      <c r="BR36" s="43">
        <f t="shared" si="13"/>
        <v>0</v>
      </c>
      <c r="BS36" s="43">
        <f t="shared" si="13"/>
        <v>0</v>
      </c>
      <c r="BT36" s="43">
        <f t="shared" si="13"/>
        <v>0</v>
      </c>
      <c r="BU36" s="43">
        <f>SUM(tblSOW8[[#This Row],[P1]:[P12]])</f>
        <v>0</v>
      </c>
      <c r="BV36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36" s="43">
        <f>IFERROR(VLOOKUP(K36,[30]Parameters!BN:BW,10,0),0)</f>
        <v>0</v>
      </c>
      <c r="BX36" s="43">
        <f>SUM(tblSOW8[[#This Row],[Jan 2023 USD]:[Mar 2023 USD]])</f>
        <v>0</v>
      </c>
      <c r="BY36" s="43">
        <f>SUM(tblSOW8[[#This Row],[Apr 2023 USD]:[Jun 2023 USD]])</f>
        <v>0</v>
      </c>
      <c r="BZ36" s="43">
        <f>SUM(tblSOW8[[#This Row],[Jul 2023 USD]:[Sep 2023 USD]])</f>
        <v>0</v>
      </c>
      <c r="CA36" s="43">
        <f>SUM(tblSOW8[[#This Row],[Oct 2023 USD]:[Dec 2023 USD]])</f>
        <v>0</v>
      </c>
    </row>
    <row r="37" spans="1:79" s="36" customFormat="1" ht="13.5" customHeight="1">
      <c r="A37" s="5"/>
      <c r="B37" s="5"/>
      <c r="C37" s="5"/>
      <c r="D37" s="39"/>
      <c r="E37" s="40"/>
      <c r="F37" s="39"/>
      <c r="G37" s="5"/>
      <c r="H37" s="44"/>
      <c r="I37" s="3"/>
      <c r="J37" s="3"/>
      <c r="K37" s="3"/>
      <c r="L37" s="85"/>
      <c r="M37" s="45"/>
      <c r="N37" s="85"/>
      <c r="O37" s="42"/>
      <c r="P37" s="8"/>
      <c r="Q37" s="8"/>
      <c r="R37" s="5"/>
      <c r="S37" s="5"/>
      <c r="T37" s="3"/>
      <c r="U37" s="3"/>
      <c r="V37" s="3"/>
      <c r="W37" s="3"/>
      <c r="X37" s="5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>
        <f t="shared" si="13"/>
        <v>0</v>
      </c>
      <c r="BQ37" s="43">
        <f t="shared" si="13"/>
        <v>0</v>
      </c>
      <c r="BR37" s="43">
        <f t="shared" si="13"/>
        <v>0</v>
      </c>
      <c r="BS37" s="43">
        <f t="shared" si="13"/>
        <v>0</v>
      </c>
      <c r="BT37" s="43">
        <f t="shared" si="13"/>
        <v>0</v>
      </c>
      <c r="BU37" s="43">
        <f>SUM(tblSOW8[[#This Row],[P1]:[P12]])</f>
        <v>0</v>
      </c>
      <c r="BV37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37" s="43">
        <f>IFERROR(VLOOKUP(K37,[30]Parameters!BN:BW,10,0),0)</f>
        <v>0</v>
      </c>
      <c r="BX37" s="43">
        <f>SUM(tblSOW8[[#This Row],[Jan 2023 USD]:[Mar 2023 USD]])</f>
        <v>0</v>
      </c>
      <c r="BY37" s="43">
        <f>SUM(tblSOW8[[#This Row],[Apr 2023 USD]:[Jun 2023 USD]])</f>
        <v>0</v>
      </c>
      <c r="BZ37" s="43">
        <f>SUM(tblSOW8[[#This Row],[Jul 2023 USD]:[Sep 2023 USD]])</f>
        <v>0</v>
      </c>
      <c r="CA37" s="43">
        <f>SUM(tblSOW8[[#This Row],[Oct 2023 USD]:[Dec 2023 USD]])</f>
        <v>0</v>
      </c>
    </row>
    <row r="38" spans="1:79" s="36" customFormat="1" ht="13.5" customHeight="1">
      <c r="A38" s="5"/>
      <c r="B38" s="5"/>
      <c r="C38" s="5"/>
      <c r="D38" s="39"/>
      <c r="E38" s="40"/>
      <c r="F38" s="39"/>
      <c r="G38" s="5"/>
      <c r="H38" s="44"/>
      <c r="I38" s="3"/>
      <c r="J38" s="3"/>
      <c r="K38" s="3"/>
      <c r="L38" s="85"/>
      <c r="M38" s="45"/>
      <c r="N38" s="85"/>
      <c r="O38" s="42"/>
      <c r="P38" s="8"/>
      <c r="Q38" s="8"/>
      <c r="R38" s="5"/>
      <c r="S38" s="5"/>
      <c r="T38" s="3"/>
      <c r="U38" s="3"/>
      <c r="V38" s="3"/>
      <c r="W38" s="3"/>
      <c r="X38" s="5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>
        <f t="shared" si="13"/>
        <v>0</v>
      </c>
      <c r="BQ38" s="43">
        <f t="shared" si="13"/>
        <v>0</v>
      </c>
      <c r="BR38" s="43">
        <f t="shared" si="13"/>
        <v>0</v>
      </c>
      <c r="BS38" s="43">
        <f t="shared" si="13"/>
        <v>0</v>
      </c>
      <c r="BT38" s="43">
        <f t="shared" si="13"/>
        <v>0</v>
      </c>
      <c r="BU38" s="43">
        <f>SUM(tblSOW8[[#This Row],[P1]:[P12]])</f>
        <v>0</v>
      </c>
      <c r="BV38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38" s="43">
        <f>IFERROR(VLOOKUP(K38,[30]Parameters!BN:BW,10,0),0)</f>
        <v>0</v>
      </c>
      <c r="BX38" s="43">
        <f>SUM(tblSOW8[[#This Row],[Jan 2023 USD]:[Mar 2023 USD]])</f>
        <v>0</v>
      </c>
      <c r="BY38" s="43">
        <f>SUM(tblSOW8[[#This Row],[Apr 2023 USD]:[Jun 2023 USD]])</f>
        <v>0</v>
      </c>
      <c r="BZ38" s="43">
        <f>SUM(tblSOW8[[#This Row],[Jul 2023 USD]:[Sep 2023 USD]])</f>
        <v>0</v>
      </c>
      <c r="CA38" s="43">
        <f>SUM(tblSOW8[[#This Row],[Oct 2023 USD]:[Dec 2023 USD]])</f>
        <v>0</v>
      </c>
    </row>
    <row r="39" spans="1:79" s="36" customFormat="1" ht="13.5" customHeight="1">
      <c r="A39" s="5"/>
      <c r="B39" s="5"/>
      <c r="C39" s="5"/>
      <c r="D39" s="39"/>
      <c r="E39" s="40"/>
      <c r="F39" s="39"/>
      <c r="G39" s="5"/>
      <c r="H39" s="44"/>
      <c r="I39" s="3"/>
      <c r="J39" s="3"/>
      <c r="K39" s="3"/>
      <c r="L39" s="85"/>
      <c r="M39" s="45"/>
      <c r="N39" s="85"/>
      <c r="O39" s="42"/>
      <c r="P39" s="8"/>
      <c r="Q39" s="8"/>
      <c r="R39" s="5"/>
      <c r="S39" s="5"/>
      <c r="T39" s="3"/>
      <c r="U39" s="3"/>
      <c r="V39" s="3"/>
      <c r="W39" s="3"/>
      <c r="X39" s="5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>
        <f t="shared" si="13"/>
        <v>0</v>
      </c>
      <c r="BQ39" s="43">
        <f t="shared" si="13"/>
        <v>0</v>
      </c>
      <c r="BR39" s="43">
        <f t="shared" si="13"/>
        <v>0</v>
      </c>
      <c r="BS39" s="43">
        <f t="shared" si="13"/>
        <v>0</v>
      </c>
      <c r="BT39" s="43">
        <f t="shared" si="13"/>
        <v>0</v>
      </c>
      <c r="BU39" s="43">
        <f>SUM(tblSOW8[[#This Row],[P1]:[P12]])</f>
        <v>0</v>
      </c>
      <c r="BV39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39" s="43">
        <f>IFERROR(VLOOKUP(K39,[30]Parameters!BN:BW,10,0),0)</f>
        <v>0</v>
      </c>
      <c r="BX39" s="43">
        <f>SUM(tblSOW8[[#This Row],[Jan 2023 USD]:[Mar 2023 USD]])</f>
        <v>0</v>
      </c>
      <c r="BY39" s="43">
        <f>SUM(tblSOW8[[#This Row],[Apr 2023 USD]:[Jun 2023 USD]])</f>
        <v>0</v>
      </c>
      <c r="BZ39" s="43">
        <f>SUM(tblSOW8[[#This Row],[Jul 2023 USD]:[Sep 2023 USD]])</f>
        <v>0</v>
      </c>
      <c r="CA39" s="43">
        <f>SUM(tblSOW8[[#This Row],[Oct 2023 USD]:[Dec 2023 USD]])</f>
        <v>0</v>
      </c>
    </row>
    <row r="40" spans="1:79" s="36" customFormat="1" ht="13.5" customHeight="1">
      <c r="A40" s="5"/>
      <c r="B40" s="5"/>
      <c r="C40" s="5"/>
      <c r="D40" s="39"/>
      <c r="E40" s="40"/>
      <c r="F40" s="39"/>
      <c r="G40" s="5"/>
      <c r="H40" s="44"/>
      <c r="I40" s="3"/>
      <c r="J40" s="3"/>
      <c r="K40" s="3"/>
      <c r="L40" s="85"/>
      <c r="M40" s="45"/>
      <c r="N40" s="85"/>
      <c r="O40" s="42"/>
      <c r="P40" s="8"/>
      <c r="Q40" s="8"/>
      <c r="R40" s="5"/>
      <c r="S40" s="5"/>
      <c r="T40" s="3"/>
      <c r="U40" s="3"/>
      <c r="V40" s="3"/>
      <c r="W40" s="3"/>
      <c r="X40" s="5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>
        <f t="shared" si="13"/>
        <v>0</v>
      </c>
      <c r="BQ40" s="43">
        <f t="shared" si="13"/>
        <v>0</v>
      </c>
      <c r="BR40" s="43">
        <f t="shared" si="13"/>
        <v>0</v>
      </c>
      <c r="BS40" s="43">
        <f t="shared" si="13"/>
        <v>0</v>
      </c>
      <c r="BT40" s="43">
        <f t="shared" si="13"/>
        <v>0</v>
      </c>
      <c r="BU40" s="43">
        <f>SUM(tblSOW8[[#This Row],[P1]:[P12]])</f>
        <v>0</v>
      </c>
      <c r="BV40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40" s="43">
        <f>IFERROR(VLOOKUP(K40,[30]Parameters!BN:BW,10,0),0)</f>
        <v>0</v>
      </c>
      <c r="BX40" s="43">
        <f>SUM(tblSOW8[[#This Row],[Jan 2023 USD]:[Mar 2023 USD]])</f>
        <v>0</v>
      </c>
      <c r="BY40" s="43">
        <f>SUM(tblSOW8[[#This Row],[Apr 2023 USD]:[Jun 2023 USD]])</f>
        <v>0</v>
      </c>
      <c r="BZ40" s="43">
        <f>SUM(tblSOW8[[#This Row],[Jul 2023 USD]:[Sep 2023 USD]])</f>
        <v>0</v>
      </c>
      <c r="CA40" s="43">
        <f>SUM(tblSOW8[[#This Row],[Oct 2023 USD]:[Dec 2023 USD]])</f>
        <v>0</v>
      </c>
    </row>
    <row r="41" spans="1:79" s="36" customFormat="1" ht="13.5" customHeight="1">
      <c r="A41" s="5"/>
      <c r="B41" s="5"/>
      <c r="C41" s="5"/>
      <c r="D41" s="39"/>
      <c r="E41" s="40"/>
      <c r="F41" s="39"/>
      <c r="G41" s="5"/>
      <c r="H41" s="44"/>
      <c r="I41" s="3"/>
      <c r="J41" s="3"/>
      <c r="K41" s="3"/>
      <c r="L41" s="85"/>
      <c r="M41" s="45"/>
      <c r="N41" s="85"/>
      <c r="O41" s="42"/>
      <c r="P41" s="8"/>
      <c r="Q41" s="8"/>
      <c r="R41" s="5"/>
      <c r="S41" s="5"/>
      <c r="T41" s="3"/>
      <c r="U41" s="3"/>
      <c r="V41" s="3"/>
      <c r="W41" s="3"/>
      <c r="X41" s="5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>
        <f t="shared" si="13"/>
        <v>0</v>
      </c>
      <c r="BQ41" s="43">
        <f t="shared" si="13"/>
        <v>0</v>
      </c>
      <c r="BR41" s="43">
        <f t="shared" si="13"/>
        <v>0</v>
      </c>
      <c r="BS41" s="43">
        <f t="shared" si="13"/>
        <v>0</v>
      </c>
      <c r="BT41" s="43">
        <f t="shared" si="13"/>
        <v>0</v>
      </c>
      <c r="BU41" s="43">
        <f>SUM(tblSOW8[[#This Row],[P1]:[P12]])</f>
        <v>0</v>
      </c>
      <c r="BV41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41" s="43">
        <f>IFERROR(VLOOKUP(K41,[30]Parameters!BN:BW,10,0),0)</f>
        <v>0</v>
      </c>
      <c r="BX41" s="43">
        <f>SUM(tblSOW8[[#This Row],[Jan 2023 USD]:[Mar 2023 USD]])</f>
        <v>0</v>
      </c>
      <c r="BY41" s="43">
        <f>SUM(tblSOW8[[#This Row],[Apr 2023 USD]:[Jun 2023 USD]])</f>
        <v>0</v>
      </c>
      <c r="BZ41" s="43">
        <f>SUM(tblSOW8[[#This Row],[Jul 2023 USD]:[Sep 2023 USD]])</f>
        <v>0</v>
      </c>
      <c r="CA41" s="43">
        <f>SUM(tblSOW8[[#This Row],[Oct 2023 USD]:[Dec 2023 USD]])</f>
        <v>0</v>
      </c>
    </row>
    <row r="42" spans="1:79" s="36" customFormat="1" ht="13.5" customHeight="1">
      <c r="A42" s="5"/>
      <c r="B42" s="5"/>
      <c r="C42" s="5"/>
      <c r="D42" s="39"/>
      <c r="E42" s="40"/>
      <c r="F42" s="39"/>
      <c r="G42" s="5"/>
      <c r="H42" s="44"/>
      <c r="I42" s="3"/>
      <c r="J42" s="3"/>
      <c r="K42" s="3"/>
      <c r="L42" s="85"/>
      <c r="M42" s="45"/>
      <c r="N42" s="85"/>
      <c r="O42" s="42"/>
      <c r="P42" s="8"/>
      <c r="Q42" s="8"/>
      <c r="R42" s="5"/>
      <c r="S42" s="5"/>
      <c r="T42" s="3"/>
      <c r="U42" s="3"/>
      <c r="V42" s="3"/>
      <c r="W42" s="3"/>
      <c r="X42" s="5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>
        <f t="shared" si="13"/>
        <v>0</v>
      </c>
      <c r="BQ42" s="43">
        <f t="shared" si="13"/>
        <v>0</v>
      </c>
      <c r="BR42" s="43">
        <f t="shared" si="13"/>
        <v>0</v>
      </c>
      <c r="BS42" s="43">
        <f t="shared" si="13"/>
        <v>0</v>
      </c>
      <c r="BT42" s="43">
        <f t="shared" si="13"/>
        <v>0</v>
      </c>
      <c r="BU42" s="43">
        <f>SUM(tblSOW8[[#This Row],[P1]:[P12]])</f>
        <v>0</v>
      </c>
      <c r="BV42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42" s="43">
        <f>IFERROR(VLOOKUP(K42,[30]Parameters!BN:BW,10,0),0)</f>
        <v>0</v>
      </c>
      <c r="BX42" s="43">
        <f>SUM(tblSOW8[[#This Row],[Jan 2023 USD]:[Mar 2023 USD]])</f>
        <v>0</v>
      </c>
      <c r="BY42" s="43">
        <f>SUM(tblSOW8[[#This Row],[Apr 2023 USD]:[Jun 2023 USD]])</f>
        <v>0</v>
      </c>
      <c r="BZ42" s="43">
        <f>SUM(tblSOW8[[#This Row],[Jul 2023 USD]:[Sep 2023 USD]])</f>
        <v>0</v>
      </c>
      <c r="CA42" s="43">
        <f>SUM(tblSOW8[[#This Row],[Oct 2023 USD]:[Dec 2023 USD]])</f>
        <v>0</v>
      </c>
    </row>
    <row r="43" spans="1:79" s="36" customFormat="1" ht="13.5" customHeight="1">
      <c r="A43" s="5"/>
      <c r="B43" s="5"/>
      <c r="C43" s="5"/>
      <c r="D43" s="39"/>
      <c r="E43" s="40"/>
      <c r="F43" s="39"/>
      <c r="G43" s="5"/>
      <c r="H43" s="44"/>
      <c r="I43" s="3"/>
      <c r="J43" s="3"/>
      <c r="K43" s="3"/>
      <c r="L43" s="85"/>
      <c r="M43" s="45"/>
      <c r="N43" s="85"/>
      <c r="O43" s="42"/>
      <c r="P43" s="8"/>
      <c r="Q43" s="8"/>
      <c r="R43" s="5"/>
      <c r="S43" s="5"/>
      <c r="T43" s="3"/>
      <c r="U43" s="3"/>
      <c r="V43" s="3"/>
      <c r="W43" s="3"/>
      <c r="X43" s="5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>
        <f t="shared" si="13"/>
        <v>0</v>
      </c>
      <c r="BQ43" s="43">
        <f t="shared" si="13"/>
        <v>0</v>
      </c>
      <c r="BR43" s="43">
        <f t="shared" si="13"/>
        <v>0</v>
      </c>
      <c r="BS43" s="43">
        <f t="shared" si="13"/>
        <v>0</v>
      </c>
      <c r="BT43" s="43">
        <f t="shared" si="13"/>
        <v>0</v>
      </c>
      <c r="BU43" s="43">
        <f>SUM(tblSOW8[[#This Row],[P1]:[P12]])</f>
        <v>0</v>
      </c>
      <c r="BV43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43" s="43">
        <f>IFERROR(VLOOKUP(K43,[30]Parameters!BN:BW,10,0),0)</f>
        <v>0</v>
      </c>
      <c r="BX43" s="43">
        <f>SUM(tblSOW8[[#This Row],[Jan 2023 USD]:[Mar 2023 USD]])</f>
        <v>0</v>
      </c>
      <c r="BY43" s="43">
        <f>SUM(tblSOW8[[#This Row],[Apr 2023 USD]:[Jun 2023 USD]])</f>
        <v>0</v>
      </c>
      <c r="BZ43" s="43">
        <f>SUM(tblSOW8[[#This Row],[Jul 2023 USD]:[Sep 2023 USD]])</f>
        <v>0</v>
      </c>
      <c r="CA43" s="43">
        <f>SUM(tblSOW8[[#This Row],[Oct 2023 USD]:[Dec 2023 USD]])</f>
        <v>0</v>
      </c>
    </row>
    <row r="44" spans="1:79" s="36" customFormat="1" ht="13.5" customHeight="1">
      <c r="A44" s="5"/>
      <c r="B44" s="5"/>
      <c r="C44" s="5"/>
      <c r="D44" s="39"/>
      <c r="E44" s="40"/>
      <c r="F44" s="39"/>
      <c r="G44" s="5"/>
      <c r="H44" s="44"/>
      <c r="I44" s="3"/>
      <c r="J44" s="3"/>
      <c r="K44" s="3"/>
      <c r="L44" s="85"/>
      <c r="M44" s="45"/>
      <c r="N44" s="85"/>
      <c r="O44" s="42"/>
      <c r="P44" s="8"/>
      <c r="Q44" s="8"/>
      <c r="R44" s="5"/>
      <c r="S44" s="5"/>
      <c r="T44" s="3"/>
      <c r="U44" s="3"/>
      <c r="V44" s="3"/>
      <c r="W44" s="3"/>
      <c r="X44" s="5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>
        <f t="shared" si="13"/>
        <v>0</v>
      </c>
      <c r="BQ44" s="43">
        <f t="shared" si="13"/>
        <v>0</v>
      </c>
      <c r="BR44" s="43">
        <f t="shared" si="13"/>
        <v>0</v>
      </c>
      <c r="BS44" s="43">
        <f t="shared" si="13"/>
        <v>0</v>
      </c>
      <c r="BT44" s="43">
        <f t="shared" si="13"/>
        <v>0</v>
      </c>
      <c r="BU44" s="43">
        <f>SUM(tblSOW8[[#This Row],[P1]:[P12]])</f>
        <v>0</v>
      </c>
      <c r="BV44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44" s="43">
        <f>IFERROR(VLOOKUP(K44,[30]Parameters!BN:BW,10,0),0)</f>
        <v>0</v>
      </c>
      <c r="BX44" s="43">
        <f>SUM(tblSOW8[[#This Row],[Jan 2023 USD]:[Mar 2023 USD]])</f>
        <v>0</v>
      </c>
      <c r="BY44" s="43">
        <f>SUM(tblSOW8[[#This Row],[Apr 2023 USD]:[Jun 2023 USD]])</f>
        <v>0</v>
      </c>
      <c r="BZ44" s="43">
        <f>SUM(tblSOW8[[#This Row],[Jul 2023 USD]:[Sep 2023 USD]])</f>
        <v>0</v>
      </c>
      <c r="CA44" s="43">
        <f>SUM(tblSOW8[[#This Row],[Oct 2023 USD]:[Dec 2023 USD]])</f>
        <v>0</v>
      </c>
    </row>
    <row r="45" spans="1:79" s="36" customFormat="1" ht="13.5" customHeight="1">
      <c r="A45" s="5"/>
      <c r="B45" s="5"/>
      <c r="C45" s="5"/>
      <c r="D45" s="39"/>
      <c r="E45" s="40"/>
      <c r="F45" s="39"/>
      <c r="G45" s="5"/>
      <c r="H45" s="44"/>
      <c r="I45" s="3"/>
      <c r="J45" s="3"/>
      <c r="K45" s="3"/>
      <c r="L45" s="85"/>
      <c r="M45" s="45"/>
      <c r="N45" s="85"/>
      <c r="O45" s="42"/>
      <c r="P45" s="8"/>
      <c r="Q45" s="8"/>
      <c r="R45" s="5"/>
      <c r="S45" s="5"/>
      <c r="T45" s="3"/>
      <c r="U45" s="3"/>
      <c r="V45" s="3"/>
      <c r="W45" s="3"/>
      <c r="X45" s="5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>
        <f t="shared" si="13"/>
        <v>0</v>
      </c>
      <c r="BQ45" s="43">
        <f t="shared" si="13"/>
        <v>0</v>
      </c>
      <c r="BR45" s="43">
        <f t="shared" si="13"/>
        <v>0</v>
      </c>
      <c r="BS45" s="43">
        <f t="shared" si="13"/>
        <v>0</v>
      </c>
      <c r="BT45" s="43">
        <f t="shared" si="13"/>
        <v>0</v>
      </c>
      <c r="BU45" s="43">
        <f>SUM(tblSOW8[[#This Row],[P1]:[P12]])</f>
        <v>0</v>
      </c>
      <c r="BV45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45" s="43">
        <f>IFERROR(VLOOKUP(K45,[30]Parameters!BN:BW,10,0),0)</f>
        <v>0</v>
      </c>
      <c r="BX45" s="43">
        <f>SUM(tblSOW8[[#This Row],[Jan 2023 USD]:[Mar 2023 USD]])</f>
        <v>0</v>
      </c>
      <c r="BY45" s="43">
        <f>SUM(tblSOW8[[#This Row],[Apr 2023 USD]:[Jun 2023 USD]])</f>
        <v>0</v>
      </c>
      <c r="BZ45" s="43">
        <f>SUM(tblSOW8[[#This Row],[Jul 2023 USD]:[Sep 2023 USD]])</f>
        <v>0</v>
      </c>
      <c r="CA45" s="43">
        <f>SUM(tblSOW8[[#This Row],[Oct 2023 USD]:[Dec 2023 USD]])</f>
        <v>0</v>
      </c>
    </row>
    <row r="46" spans="1:79" s="36" customFormat="1" ht="13.5" customHeight="1">
      <c r="A46" s="5"/>
      <c r="B46" s="5"/>
      <c r="C46" s="5"/>
      <c r="D46" s="39"/>
      <c r="E46" s="40"/>
      <c r="F46" s="39"/>
      <c r="G46" s="5"/>
      <c r="H46" s="44"/>
      <c r="I46" s="3"/>
      <c r="J46" s="3"/>
      <c r="K46" s="3"/>
      <c r="L46" s="85"/>
      <c r="M46" s="45"/>
      <c r="N46" s="85"/>
      <c r="O46" s="42"/>
      <c r="P46" s="8"/>
      <c r="Q46" s="8"/>
      <c r="R46" s="5"/>
      <c r="S46" s="5"/>
      <c r="T46" s="3"/>
      <c r="U46" s="3"/>
      <c r="V46" s="3"/>
      <c r="W46" s="3"/>
      <c r="X46" s="5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>
        <f t="shared" si="13"/>
        <v>0</v>
      </c>
      <c r="BQ46" s="43">
        <f t="shared" si="13"/>
        <v>0</v>
      </c>
      <c r="BR46" s="43">
        <f t="shared" si="13"/>
        <v>0</v>
      </c>
      <c r="BS46" s="43">
        <f t="shared" si="13"/>
        <v>0</v>
      </c>
      <c r="BT46" s="43">
        <f t="shared" si="13"/>
        <v>0</v>
      </c>
      <c r="BU46" s="43">
        <f>SUM(tblSOW8[[#This Row],[P1]:[P12]])</f>
        <v>0</v>
      </c>
      <c r="BV46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46" s="43">
        <f>IFERROR(VLOOKUP(K46,[30]Parameters!BN:BW,10,0),0)</f>
        <v>0</v>
      </c>
      <c r="BX46" s="43">
        <f>SUM(tblSOW8[[#This Row],[Jan 2023 USD]:[Mar 2023 USD]])</f>
        <v>0</v>
      </c>
      <c r="BY46" s="43">
        <f>SUM(tblSOW8[[#This Row],[Apr 2023 USD]:[Jun 2023 USD]])</f>
        <v>0</v>
      </c>
      <c r="BZ46" s="43">
        <f>SUM(tblSOW8[[#This Row],[Jul 2023 USD]:[Sep 2023 USD]])</f>
        <v>0</v>
      </c>
      <c r="CA46" s="43">
        <f>SUM(tblSOW8[[#This Row],[Oct 2023 USD]:[Dec 2023 USD]])</f>
        <v>0</v>
      </c>
    </row>
    <row r="47" spans="1:79" s="36" customFormat="1" ht="13.5" customHeight="1">
      <c r="A47" s="5"/>
      <c r="B47" s="5"/>
      <c r="C47" s="5"/>
      <c r="D47" s="39"/>
      <c r="E47" s="40"/>
      <c r="F47" s="39"/>
      <c r="G47" s="5"/>
      <c r="H47" s="44"/>
      <c r="I47" s="3"/>
      <c r="J47" s="3"/>
      <c r="K47" s="3"/>
      <c r="L47" s="85"/>
      <c r="M47" s="45"/>
      <c r="N47" s="85"/>
      <c r="O47" s="42"/>
      <c r="P47" s="8"/>
      <c r="Q47" s="8"/>
      <c r="R47" s="5"/>
      <c r="S47" s="5"/>
      <c r="T47" s="3"/>
      <c r="U47" s="3"/>
      <c r="V47" s="3"/>
      <c r="W47" s="3"/>
      <c r="X47" s="5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>
        <f t="shared" si="13"/>
        <v>0</v>
      </c>
      <c r="BQ47" s="43">
        <f t="shared" si="13"/>
        <v>0</v>
      </c>
      <c r="BR47" s="43">
        <f t="shared" si="13"/>
        <v>0</v>
      </c>
      <c r="BS47" s="43">
        <f t="shared" si="13"/>
        <v>0</v>
      </c>
      <c r="BT47" s="43">
        <f t="shared" si="13"/>
        <v>0</v>
      </c>
      <c r="BU47" s="43">
        <f>SUM(tblSOW8[[#This Row],[P1]:[P12]])</f>
        <v>0</v>
      </c>
      <c r="BV47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47" s="43">
        <f>IFERROR(VLOOKUP(K47,[30]Parameters!BN:BW,10,0),0)</f>
        <v>0</v>
      </c>
      <c r="BX47" s="43">
        <f>SUM(tblSOW8[[#This Row],[Jan 2023 USD]:[Mar 2023 USD]])</f>
        <v>0</v>
      </c>
      <c r="BY47" s="43">
        <f>SUM(tblSOW8[[#This Row],[Apr 2023 USD]:[Jun 2023 USD]])</f>
        <v>0</v>
      </c>
      <c r="BZ47" s="43">
        <f>SUM(tblSOW8[[#This Row],[Jul 2023 USD]:[Sep 2023 USD]])</f>
        <v>0</v>
      </c>
      <c r="CA47" s="43">
        <f>SUM(tblSOW8[[#This Row],[Oct 2023 USD]:[Dec 2023 USD]])</f>
        <v>0</v>
      </c>
    </row>
    <row r="48" spans="1:79" s="36" customFormat="1" ht="13.5" customHeight="1">
      <c r="A48" s="5"/>
      <c r="B48" s="5"/>
      <c r="C48" s="5"/>
      <c r="D48" s="39"/>
      <c r="E48" s="40"/>
      <c r="F48" s="39"/>
      <c r="G48" s="5"/>
      <c r="H48" s="44"/>
      <c r="I48" s="3"/>
      <c r="J48" s="3"/>
      <c r="K48" s="3"/>
      <c r="L48" s="85"/>
      <c r="M48" s="45"/>
      <c r="N48" s="85"/>
      <c r="O48" s="42"/>
      <c r="P48" s="8"/>
      <c r="Q48" s="8"/>
      <c r="R48" s="5"/>
      <c r="S48" s="5"/>
      <c r="T48" s="3"/>
      <c r="U48" s="3"/>
      <c r="V48" s="3"/>
      <c r="W48" s="3"/>
      <c r="X48" s="5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>
        <f t="shared" si="13"/>
        <v>0</v>
      </c>
      <c r="BQ48" s="43">
        <f t="shared" si="13"/>
        <v>0</v>
      </c>
      <c r="BR48" s="43">
        <f t="shared" si="13"/>
        <v>0</v>
      </c>
      <c r="BS48" s="43">
        <f t="shared" si="13"/>
        <v>0</v>
      </c>
      <c r="BT48" s="43">
        <f t="shared" si="13"/>
        <v>0</v>
      </c>
      <c r="BU48" s="43">
        <f>SUM(tblSOW8[[#This Row],[P1]:[P12]])</f>
        <v>0</v>
      </c>
      <c r="BV48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48" s="43">
        <f>IFERROR(VLOOKUP(K48,[30]Parameters!BN:BW,10,0),0)</f>
        <v>0</v>
      </c>
      <c r="BX48" s="43">
        <f>SUM(tblSOW8[[#This Row],[Jan 2023 USD]:[Mar 2023 USD]])</f>
        <v>0</v>
      </c>
      <c r="BY48" s="43">
        <f>SUM(tblSOW8[[#This Row],[Apr 2023 USD]:[Jun 2023 USD]])</f>
        <v>0</v>
      </c>
      <c r="BZ48" s="43">
        <f>SUM(tblSOW8[[#This Row],[Jul 2023 USD]:[Sep 2023 USD]])</f>
        <v>0</v>
      </c>
      <c r="CA48" s="43">
        <f>SUM(tblSOW8[[#This Row],[Oct 2023 USD]:[Dec 2023 USD]])</f>
        <v>0</v>
      </c>
    </row>
    <row r="49" spans="1:79" s="36" customFormat="1" ht="13.5" customHeight="1">
      <c r="A49" s="5"/>
      <c r="B49" s="5"/>
      <c r="C49" s="5"/>
      <c r="D49" s="39"/>
      <c r="E49" s="40"/>
      <c r="F49" s="39"/>
      <c r="G49" s="5"/>
      <c r="H49" s="44"/>
      <c r="I49" s="3"/>
      <c r="J49" s="3"/>
      <c r="K49" s="3"/>
      <c r="L49" s="85"/>
      <c r="M49" s="45"/>
      <c r="N49" s="85"/>
      <c r="O49" s="42"/>
      <c r="P49" s="8"/>
      <c r="Q49" s="8"/>
      <c r="R49" s="5"/>
      <c r="S49" s="5"/>
      <c r="T49" s="3"/>
      <c r="U49" s="3"/>
      <c r="V49" s="3"/>
      <c r="W49" s="3"/>
      <c r="X49" s="5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>
        <f t="shared" si="13"/>
        <v>0</v>
      </c>
      <c r="BQ49" s="43">
        <f t="shared" si="13"/>
        <v>0</v>
      </c>
      <c r="BR49" s="43">
        <f t="shared" si="13"/>
        <v>0</v>
      </c>
      <c r="BS49" s="43">
        <f t="shared" si="13"/>
        <v>0</v>
      </c>
      <c r="BT49" s="43">
        <f t="shared" si="13"/>
        <v>0</v>
      </c>
      <c r="BU49" s="43">
        <f>SUM(tblSOW8[[#This Row],[P1]:[P12]])</f>
        <v>0</v>
      </c>
      <c r="BV49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49" s="43">
        <f>IFERROR(VLOOKUP(K49,[30]Parameters!BN:BW,10,0),0)</f>
        <v>0</v>
      </c>
      <c r="BX49" s="43">
        <f>SUM(tblSOW8[[#This Row],[Jan 2023 USD]:[Mar 2023 USD]])</f>
        <v>0</v>
      </c>
      <c r="BY49" s="43">
        <f>SUM(tblSOW8[[#This Row],[Apr 2023 USD]:[Jun 2023 USD]])</f>
        <v>0</v>
      </c>
      <c r="BZ49" s="43">
        <f>SUM(tblSOW8[[#This Row],[Jul 2023 USD]:[Sep 2023 USD]])</f>
        <v>0</v>
      </c>
      <c r="CA49" s="43">
        <f>SUM(tblSOW8[[#This Row],[Oct 2023 USD]:[Dec 2023 USD]])</f>
        <v>0</v>
      </c>
    </row>
    <row r="50" spans="1:79" s="36" customFormat="1" ht="13.5" customHeight="1">
      <c r="A50" s="5"/>
      <c r="B50" s="5"/>
      <c r="C50" s="5"/>
      <c r="D50" s="39"/>
      <c r="E50" s="40"/>
      <c r="F50" s="39"/>
      <c r="G50" s="5"/>
      <c r="H50" s="44"/>
      <c r="I50" s="3"/>
      <c r="J50" s="3"/>
      <c r="K50" s="3"/>
      <c r="L50" s="85"/>
      <c r="M50" s="45"/>
      <c r="N50" s="85"/>
      <c r="O50" s="42"/>
      <c r="P50" s="8"/>
      <c r="Q50" s="8"/>
      <c r="R50" s="5"/>
      <c r="S50" s="5"/>
      <c r="T50" s="3"/>
      <c r="U50" s="3"/>
      <c r="V50" s="3"/>
      <c r="W50" s="3"/>
      <c r="X50" s="5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>
        <f t="shared" si="13"/>
        <v>0</v>
      </c>
      <c r="BQ50" s="43">
        <f t="shared" si="13"/>
        <v>0</v>
      </c>
      <c r="BR50" s="43">
        <f t="shared" si="13"/>
        <v>0</v>
      </c>
      <c r="BS50" s="43">
        <f t="shared" si="13"/>
        <v>0</v>
      </c>
      <c r="BT50" s="43">
        <f t="shared" si="13"/>
        <v>0</v>
      </c>
      <c r="BU50" s="43">
        <f>SUM(tblSOW8[[#This Row],[P1]:[P12]])</f>
        <v>0</v>
      </c>
      <c r="BV50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50" s="43">
        <f>IFERROR(VLOOKUP(K50,[30]Parameters!BN:BW,10,0),0)</f>
        <v>0</v>
      </c>
      <c r="BX50" s="43">
        <f>SUM(tblSOW8[[#This Row],[Jan 2023 USD]:[Mar 2023 USD]])</f>
        <v>0</v>
      </c>
      <c r="BY50" s="43">
        <f>SUM(tblSOW8[[#This Row],[Apr 2023 USD]:[Jun 2023 USD]])</f>
        <v>0</v>
      </c>
      <c r="BZ50" s="43">
        <f>SUM(tblSOW8[[#This Row],[Jul 2023 USD]:[Sep 2023 USD]])</f>
        <v>0</v>
      </c>
      <c r="CA50" s="43">
        <f>SUM(tblSOW8[[#This Row],[Oct 2023 USD]:[Dec 2023 USD]])</f>
        <v>0</v>
      </c>
    </row>
    <row r="51" spans="1:79" s="36" customFormat="1" ht="13.5" customHeight="1">
      <c r="A51" s="5"/>
      <c r="B51" s="5"/>
      <c r="C51" s="5"/>
      <c r="D51" s="39"/>
      <c r="E51" s="40"/>
      <c r="F51" s="39"/>
      <c r="G51" s="5"/>
      <c r="H51" s="44"/>
      <c r="I51" s="3"/>
      <c r="J51" s="3"/>
      <c r="K51" s="3"/>
      <c r="L51" s="85"/>
      <c r="M51" s="45"/>
      <c r="N51" s="85"/>
      <c r="O51" s="42"/>
      <c r="P51" s="8"/>
      <c r="Q51" s="8"/>
      <c r="R51" s="5"/>
      <c r="S51" s="5"/>
      <c r="T51" s="3"/>
      <c r="U51" s="3"/>
      <c r="V51" s="3"/>
      <c r="W51" s="3"/>
      <c r="X51" s="5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>
        <f t="shared" si="13"/>
        <v>0</v>
      </c>
      <c r="BQ51" s="43">
        <f t="shared" si="13"/>
        <v>0</v>
      </c>
      <c r="BR51" s="43">
        <f t="shared" si="13"/>
        <v>0</v>
      </c>
      <c r="BS51" s="43">
        <f t="shared" si="13"/>
        <v>0</v>
      </c>
      <c r="BT51" s="43">
        <f t="shared" si="13"/>
        <v>0</v>
      </c>
      <c r="BU51" s="43">
        <f>SUM(tblSOW8[[#This Row],[P1]:[P12]])</f>
        <v>0</v>
      </c>
      <c r="BV51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51" s="43">
        <f>IFERROR(VLOOKUP(K51,[30]Parameters!BN:BW,10,0),0)</f>
        <v>0</v>
      </c>
      <c r="BX51" s="43">
        <f>SUM(tblSOW8[[#This Row],[Jan 2023 USD]:[Mar 2023 USD]])</f>
        <v>0</v>
      </c>
      <c r="BY51" s="43">
        <f>SUM(tblSOW8[[#This Row],[Apr 2023 USD]:[Jun 2023 USD]])</f>
        <v>0</v>
      </c>
      <c r="BZ51" s="43">
        <f>SUM(tblSOW8[[#This Row],[Jul 2023 USD]:[Sep 2023 USD]])</f>
        <v>0</v>
      </c>
      <c r="CA51" s="43">
        <f>SUM(tblSOW8[[#This Row],[Oct 2023 USD]:[Dec 2023 USD]])</f>
        <v>0</v>
      </c>
    </row>
    <row r="52" spans="1:79" s="36" customFormat="1" ht="13.5" customHeight="1">
      <c r="A52" s="5"/>
      <c r="B52" s="5"/>
      <c r="C52" s="5"/>
      <c r="D52" s="39"/>
      <c r="E52" s="40"/>
      <c r="F52" s="39"/>
      <c r="G52" s="5"/>
      <c r="H52" s="44"/>
      <c r="I52" s="3"/>
      <c r="J52" s="3"/>
      <c r="K52" s="3"/>
      <c r="L52" s="85"/>
      <c r="M52" s="45"/>
      <c r="N52" s="85"/>
      <c r="O52" s="42"/>
      <c r="P52" s="8"/>
      <c r="Q52" s="8"/>
      <c r="R52" s="5"/>
      <c r="S52" s="5"/>
      <c r="T52" s="3"/>
      <c r="U52" s="3"/>
      <c r="V52" s="3"/>
      <c r="W52" s="3"/>
      <c r="X52" s="5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>
        <f t="shared" si="13"/>
        <v>0</v>
      </c>
      <c r="BQ52" s="43">
        <f t="shared" si="13"/>
        <v>0</v>
      </c>
      <c r="BR52" s="43">
        <f t="shared" si="13"/>
        <v>0</v>
      </c>
      <c r="BS52" s="43">
        <f t="shared" si="13"/>
        <v>0</v>
      </c>
      <c r="BT52" s="43">
        <f t="shared" si="13"/>
        <v>0</v>
      </c>
      <c r="BU52" s="43">
        <f>SUM(tblSOW8[[#This Row],[P1]:[P12]])</f>
        <v>0</v>
      </c>
      <c r="BV52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52" s="43">
        <f>IFERROR(VLOOKUP(K52,[30]Parameters!BN:BW,10,0),0)</f>
        <v>0</v>
      </c>
      <c r="BX52" s="43">
        <f>SUM(tblSOW8[[#This Row],[Jan 2023 USD]:[Mar 2023 USD]])</f>
        <v>0</v>
      </c>
      <c r="BY52" s="43">
        <f>SUM(tblSOW8[[#This Row],[Apr 2023 USD]:[Jun 2023 USD]])</f>
        <v>0</v>
      </c>
      <c r="BZ52" s="43">
        <f>SUM(tblSOW8[[#This Row],[Jul 2023 USD]:[Sep 2023 USD]])</f>
        <v>0</v>
      </c>
      <c r="CA52" s="43">
        <f>SUM(tblSOW8[[#This Row],[Oct 2023 USD]:[Dec 2023 USD]])</f>
        <v>0</v>
      </c>
    </row>
    <row r="53" spans="1:79" s="36" customFormat="1" ht="13.5" customHeight="1">
      <c r="A53" s="5"/>
      <c r="B53" s="5"/>
      <c r="C53" s="5"/>
      <c r="D53" s="39"/>
      <c r="E53" s="40"/>
      <c r="F53" s="39"/>
      <c r="G53" s="5"/>
      <c r="H53" s="44"/>
      <c r="I53" s="3"/>
      <c r="J53" s="3"/>
      <c r="K53" s="3"/>
      <c r="L53" s="85"/>
      <c r="M53" s="45"/>
      <c r="N53" s="85"/>
      <c r="O53" s="42"/>
      <c r="P53" s="8"/>
      <c r="Q53" s="8"/>
      <c r="R53" s="5"/>
      <c r="S53" s="5"/>
      <c r="T53" s="3"/>
      <c r="U53" s="3"/>
      <c r="V53" s="3"/>
      <c r="W53" s="3"/>
      <c r="X53" s="5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>
        <f t="shared" si="13"/>
        <v>0</v>
      </c>
      <c r="BQ53" s="43">
        <f t="shared" si="13"/>
        <v>0</v>
      </c>
      <c r="BR53" s="43">
        <f t="shared" si="13"/>
        <v>0</v>
      </c>
      <c r="BS53" s="43">
        <f t="shared" si="13"/>
        <v>0</v>
      </c>
      <c r="BT53" s="43">
        <f t="shared" si="13"/>
        <v>0</v>
      </c>
      <c r="BU53" s="43">
        <f>SUM(tblSOW8[[#This Row],[P1]:[P12]])</f>
        <v>0</v>
      </c>
      <c r="BV53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53" s="43">
        <f>IFERROR(VLOOKUP(K53,[30]Parameters!BN:BW,10,0),0)</f>
        <v>0</v>
      </c>
      <c r="BX53" s="43">
        <f>SUM(tblSOW8[[#This Row],[Jan 2023 USD]:[Mar 2023 USD]])</f>
        <v>0</v>
      </c>
      <c r="BY53" s="43">
        <f>SUM(tblSOW8[[#This Row],[Apr 2023 USD]:[Jun 2023 USD]])</f>
        <v>0</v>
      </c>
      <c r="BZ53" s="43">
        <f>SUM(tblSOW8[[#This Row],[Jul 2023 USD]:[Sep 2023 USD]])</f>
        <v>0</v>
      </c>
      <c r="CA53" s="43">
        <f>SUM(tblSOW8[[#This Row],[Oct 2023 USD]:[Dec 2023 USD]])</f>
        <v>0</v>
      </c>
    </row>
    <row r="54" spans="1:79" s="36" customFormat="1" ht="13.5" customHeight="1">
      <c r="A54" s="5"/>
      <c r="B54" s="5"/>
      <c r="C54" s="5"/>
      <c r="D54" s="39"/>
      <c r="E54" s="40"/>
      <c r="F54" s="39"/>
      <c r="G54" s="5"/>
      <c r="H54" s="44"/>
      <c r="I54" s="3"/>
      <c r="J54" s="3"/>
      <c r="K54" s="3"/>
      <c r="L54" s="85"/>
      <c r="M54" s="45"/>
      <c r="N54" s="85"/>
      <c r="O54" s="42"/>
      <c r="P54" s="8"/>
      <c r="Q54" s="8"/>
      <c r="R54" s="5"/>
      <c r="S54" s="5"/>
      <c r="T54" s="3"/>
      <c r="U54" s="3"/>
      <c r="V54" s="3"/>
      <c r="W54" s="3"/>
      <c r="X54" s="5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>
        <f t="shared" si="13"/>
        <v>0</v>
      </c>
      <c r="BQ54" s="43">
        <f t="shared" si="13"/>
        <v>0</v>
      </c>
      <c r="BR54" s="43">
        <f t="shared" si="13"/>
        <v>0</v>
      </c>
      <c r="BS54" s="43">
        <f t="shared" si="13"/>
        <v>0</v>
      </c>
      <c r="BT54" s="43">
        <f t="shared" si="13"/>
        <v>0</v>
      </c>
      <c r="BU54" s="43">
        <f>SUM(tblSOW8[[#This Row],[P1]:[P12]])</f>
        <v>0</v>
      </c>
      <c r="BV54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54" s="43">
        <f>IFERROR(VLOOKUP(K54,[30]Parameters!BN:BW,10,0),0)</f>
        <v>0</v>
      </c>
      <c r="BX54" s="43">
        <f>SUM(tblSOW8[[#This Row],[Jan 2023 USD]:[Mar 2023 USD]])</f>
        <v>0</v>
      </c>
      <c r="BY54" s="43">
        <f>SUM(tblSOW8[[#This Row],[Apr 2023 USD]:[Jun 2023 USD]])</f>
        <v>0</v>
      </c>
      <c r="BZ54" s="43">
        <f>SUM(tblSOW8[[#This Row],[Jul 2023 USD]:[Sep 2023 USD]])</f>
        <v>0</v>
      </c>
      <c r="CA54" s="43">
        <f>SUM(tblSOW8[[#This Row],[Oct 2023 USD]:[Dec 2023 USD]])</f>
        <v>0</v>
      </c>
    </row>
    <row r="55" spans="1:79" s="36" customFormat="1" ht="13.5" customHeight="1">
      <c r="A55" s="5"/>
      <c r="B55" s="5"/>
      <c r="C55" s="5"/>
      <c r="D55" s="39"/>
      <c r="E55" s="40"/>
      <c r="F55" s="39"/>
      <c r="G55" s="5"/>
      <c r="H55" s="44"/>
      <c r="I55" s="3"/>
      <c r="J55" s="3"/>
      <c r="K55" s="3"/>
      <c r="L55" s="85"/>
      <c r="M55" s="45"/>
      <c r="N55" s="85"/>
      <c r="O55" s="42"/>
      <c r="P55" s="8"/>
      <c r="Q55" s="8"/>
      <c r="R55" s="5"/>
      <c r="S55" s="5"/>
      <c r="T55" s="3"/>
      <c r="U55" s="3"/>
      <c r="V55" s="3"/>
      <c r="W55" s="3"/>
      <c r="X55" s="5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>
        <f t="shared" si="13"/>
        <v>0</v>
      </c>
      <c r="BQ55" s="43">
        <f t="shared" si="13"/>
        <v>0</v>
      </c>
      <c r="BR55" s="43">
        <f t="shared" si="13"/>
        <v>0</v>
      </c>
      <c r="BS55" s="43">
        <f t="shared" si="13"/>
        <v>0</v>
      </c>
      <c r="BT55" s="43">
        <f t="shared" si="13"/>
        <v>0</v>
      </c>
      <c r="BU55" s="43">
        <f>SUM(tblSOW8[[#This Row],[P1]:[P12]])</f>
        <v>0</v>
      </c>
      <c r="BV55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55" s="43">
        <f>IFERROR(VLOOKUP(K55,[30]Parameters!BN:BW,10,0),0)</f>
        <v>0</v>
      </c>
      <c r="BX55" s="43">
        <f>SUM(tblSOW8[[#This Row],[Jan 2023 USD]:[Mar 2023 USD]])</f>
        <v>0</v>
      </c>
      <c r="BY55" s="43">
        <f>SUM(tblSOW8[[#This Row],[Apr 2023 USD]:[Jun 2023 USD]])</f>
        <v>0</v>
      </c>
      <c r="BZ55" s="43">
        <f>SUM(tblSOW8[[#This Row],[Jul 2023 USD]:[Sep 2023 USD]])</f>
        <v>0</v>
      </c>
      <c r="CA55" s="43">
        <f>SUM(tblSOW8[[#This Row],[Oct 2023 USD]:[Dec 2023 USD]])</f>
        <v>0</v>
      </c>
    </row>
    <row r="56" spans="1:79" s="36" customFormat="1">
      <c r="A56" s="5"/>
      <c r="B56" s="5"/>
      <c r="C56" s="5"/>
      <c r="D56" s="39"/>
      <c r="E56" s="40"/>
      <c r="F56" s="39"/>
      <c r="G56" s="5"/>
      <c r="H56" s="5"/>
      <c r="I56" s="3"/>
      <c r="J56" s="3"/>
      <c r="K56" s="3"/>
      <c r="L56" s="5"/>
      <c r="M56" s="45"/>
      <c r="N56" s="112"/>
      <c r="O56" s="3"/>
      <c r="P56" s="8"/>
      <c r="Q56" s="8"/>
      <c r="R56" s="5"/>
      <c r="S56" s="5"/>
      <c r="T56" s="3"/>
      <c r="U56" s="3"/>
      <c r="V56" s="3"/>
      <c r="W56" s="3"/>
      <c r="X56" s="5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>
        <f t="shared" si="13"/>
        <v>0</v>
      </c>
      <c r="BQ56" s="43">
        <f t="shared" si="13"/>
        <v>0</v>
      </c>
      <c r="BR56" s="43">
        <f t="shared" si="13"/>
        <v>0</v>
      </c>
      <c r="BS56" s="43">
        <f t="shared" si="13"/>
        <v>0</v>
      </c>
      <c r="BT56" s="43">
        <f t="shared" si="13"/>
        <v>0</v>
      </c>
      <c r="BU56" s="43">
        <f>SUM(tblSOW8[[#This Row],[P1]:[P12]])</f>
        <v>0</v>
      </c>
      <c r="BV56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56" s="43">
        <f>IFERROR(VLOOKUP(K56,[30]Parameters!BN:BW,10,0),0)</f>
        <v>0</v>
      </c>
      <c r="BX56" s="43">
        <f>SUM(tblSOW8[[#This Row],[Jan 2023 USD]:[Mar 2023 USD]])</f>
        <v>0</v>
      </c>
      <c r="BY56" s="43">
        <f>SUM(tblSOW8[[#This Row],[Apr 2023 USD]:[Jun 2023 USD]])</f>
        <v>0</v>
      </c>
      <c r="BZ56" s="43">
        <f>SUM(tblSOW8[[#This Row],[Jul 2023 USD]:[Sep 2023 USD]])</f>
        <v>0</v>
      </c>
      <c r="CA56" s="43">
        <f>SUM(tblSOW8[[#This Row],[Oct 2023 USD]:[Dec 2023 USD]])</f>
        <v>0</v>
      </c>
    </row>
    <row r="57" spans="1:79" s="36" customFormat="1">
      <c r="A57" s="5"/>
      <c r="B57" s="5"/>
      <c r="C57" s="5"/>
      <c r="D57" s="39"/>
      <c r="E57" s="40"/>
      <c r="F57" s="39"/>
      <c r="G57" s="5"/>
      <c r="H57" s="5"/>
      <c r="I57" s="3"/>
      <c r="J57" s="3"/>
      <c r="K57" s="3"/>
      <c r="L57" s="5"/>
      <c r="M57" s="45"/>
      <c r="N57" s="112"/>
      <c r="O57" s="3"/>
      <c r="P57" s="8"/>
      <c r="Q57" s="8"/>
      <c r="R57" s="5"/>
      <c r="S57" s="5"/>
      <c r="T57" s="3"/>
      <c r="U57" s="3"/>
      <c r="V57" s="3"/>
      <c r="W57" s="3"/>
      <c r="X57" s="5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>
        <f t="shared" si="13"/>
        <v>0</v>
      </c>
      <c r="BQ57" s="43">
        <f t="shared" si="13"/>
        <v>0</v>
      </c>
      <c r="BR57" s="43">
        <f t="shared" si="13"/>
        <v>0</v>
      </c>
      <c r="BS57" s="43">
        <f t="shared" si="13"/>
        <v>0</v>
      </c>
      <c r="BT57" s="43">
        <f t="shared" si="13"/>
        <v>0</v>
      </c>
      <c r="BU57" s="43">
        <f>SUM(tblSOW8[[#This Row],[P1]:[P12]])</f>
        <v>0</v>
      </c>
      <c r="BV57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57" s="43">
        <f>IFERROR(VLOOKUP(K57,[30]Parameters!BN:BW,10,0),0)</f>
        <v>0</v>
      </c>
      <c r="BX57" s="43">
        <f>SUM(tblSOW8[[#This Row],[Jan 2023 USD]:[Mar 2023 USD]])</f>
        <v>0</v>
      </c>
      <c r="BY57" s="43">
        <f>SUM(tblSOW8[[#This Row],[Apr 2023 USD]:[Jun 2023 USD]])</f>
        <v>0</v>
      </c>
      <c r="BZ57" s="43">
        <f>SUM(tblSOW8[[#This Row],[Jul 2023 USD]:[Sep 2023 USD]])</f>
        <v>0</v>
      </c>
      <c r="CA57" s="43">
        <f>SUM(tblSOW8[[#This Row],[Oct 2023 USD]:[Dec 2023 USD]])</f>
        <v>0</v>
      </c>
    </row>
    <row r="58" spans="1:79" s="36" customFormat="1">
      <c r="A58" s="5"/>
      <c r="B58" s="5"/>
      <c r="C58" s="5"/>
      <c r="D58" s="39"/>
      <c r="E58" s="40"/>
      <c r="F58" s="39"/>
      <c r="G58" s="5"/>
      <c r="H58" s="5"/>
      <c r="I58" s="3"/>
      <c r="J58" s="3"/>
      <c r="K58" s="3"/>
      <c r="L58" s="5"/>
      <c r="M58" s="45"/>
      <c r="N58" s="112"/>
      <c r="O58" s="3"/>
      <c r="P58" s="8"/>
      <c r="Q58" s="8"/>
      <c r="R58" s="5"/>
      <c r="S58" s="5"/>
      <c r="T58" s="3"/>
      <c r="U58" s="3"/>
      <c r="V58" s="3"/>
      <c r="W58" s="3"/>
      <c r="X58" s="5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>
        <f t="shared" si="13"/>
        <v>0</v>
      </c>
      <c r="BQ58" s="43">
        <f t="shared" si="13"/>
        <v>0</v>
      </c>
      <c r="BR58" s="43">
        <f t="shared" si="13"/>
        <v>0</v>
      </c>
      <c r="BS58" s="43">
        <f t="shared" si="13"/>
        <v>0</v>
      </c>
      <c r="BT58" s="43">
        <f t="shared" si="13"/>
        <v>0</v>
      </c>
      <c r="BU58" s="43">
        <f>SUM(tblSOW8[[#This Row],[P1]:[P12]])</f>
        <v>0</v>
      </c>
      <c r="BV58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58" s="43">
        <f>IFERROR(VLOOKUP(K58,[30]Parameters!BN:BW,10,0),0)</f>
        <v>0</v>
      </c>
      <c r="BX58" s="43">
        <f>SUM(tblSOW8[[#This Row],[Jan 2023 USD]:[Mar 2023 USD]])</f>
        <v>0</v>
      </c>
      <c r="BY58" s="43">
        <f>SUM(tblSOW8[[#This Row],[Apr 2023 USD]:[Jun 2023 USD]])</f>
        <v>0</v>
      </c>
      <c r="BZ58" s="43">
        <f>SUM(tblSOW8[[#This Row],[Jul 2023 USD]:[Sep 2023 USD]])</f>
        <v>0</v>
      </c>
      <c r="CA58" s="43">
        <f>SUM(tblSOW8[[#This Row],[Oct 2023 USD]:[Dec 2023 USD]])</f>
        <v>0</v>
      </c>
    </row>
    <row r="59" spans="1:79" s="36" customFormat="1">
      <c r="A59" s="5"/>
      <c r="B59" s="5"/>
      <c r="C59" s="5"/>
      <c r="D59" s="39"/>
      <c r="E59" s="40"/>
      <c r="F59" s="39"/>
      <c r="G59" s="113"/>
      <c r="H59" s="5"/>
      <c r="I59" s="3"/>
      <c r="J59" s="3"/>
      <c r="K59" s="3"/>
      <c r="L59" s="113"/>
      <c r="M59" s="114"/>
      <c r="N59" s="112"/>
      <c r="O59" s="3"/>
      <c r="P59" s="8"/>
      <c r="Q59" s="8"/>
      <c r="R59" s="5"/>
      <c r="S59" s="5"/>
      <c r="T59" s="3"/>
      <c r="U59" s="3"/>
      <c r="V59" s="3"/>
      <c r="W59" s="3"/>
      <c r="X59" s="5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>
        <f t="shared" si="13"/>
        <v>0</v>
      </c>
      <c r="BQ59" s="43">
        <f t="shared" si="13"/>
        <v>0</v>
      </c>
      <c r="BR59" s="43">
        <f t="shared" si="13"/>
        <v>0</v>
      </c>
      <c r="BS59" s="43">
        <f t="shared" si="13"/>
        <v>0</v>
      </c>
      <c r="BT59" s="43">
        <f t="shared" si="13"/>
        <v>0</v>
      </c>
      <c r="BU59" s="43">
        <f>SUM(tblSOW8[[#This Row],[P1]:[P12]])</f>
        <v>0</v>
      </c>
      <c r="BV59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59" s="43">
        <f>IFERROR(VLOOKUP(K59,[30]Parameters!BN:BW,10,0),0)</f>
        <v>0</v>
      </c>
      <c r="BX59" s="43">
        <f>SUM(tblSOW8[[#This Row],[Jan 2023 USD]:[Mar 2023 USD]])</f>
        <v>0</v>
      </c>
      <c r="BY59" s="43">
        <f>SUM(tblSOW8[[#This Row],[Apr 2023 USD]:[Jun 2023 USD]])</f>
        <v>0</v>
      </c>
      <c r="BZ59" s="43">
        <f>SUM(tblSOW8[[#This Row],[Jul 2023 USD]:[Sep 2023 USD]])</f>
        <v>0</v>
      </c>
      <c r="CA59" s="43">
        <f>SUM(tblSOW8[[#This Row],[Oct 2023 USD]:[Dec 2023 USD]])</f>
        <v>0</v>
      </c>
    </row>
    <row r="60" spans="1:79" s="36" customFormat="1">
      <c r="A60" s="5"/>
      <c r="B60" s="5"/>
      <c r="C60" s="5"/>
      <c r="D60" s="39"/>
      <c r="E60" s="40"/>
      <c r="F60" s="39"/>
      <c r="G60" s="5"/>
      <c r="H60" s="5"/>
      <c r="I60" s="3"/>
      <c r="J60" s="3"/>
      <c r="K60" s="3"/>
      <c r="L60" s="5"/>
      <c r="M60" s="45"/>
      <c r="N60" s="112"/>
      <c r="O60" s="3"/>
      <c r="P60" s="8"/>
      <c r="Q60" s="8"/>
      <c r="R60" s="5"/>
      <c r="S60" s="5"/>
      <c r="T60" s="3"/>
      <c r="U60" s="3"/>
      <c r="V60" s="3"/>
      <c r="W60" s="3"/>
      <c r="X60" s="5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>
        <f t="shared" si="13"/>
        <v>0</v>
      </c>
      <c r="BQ60" s="43">
        <f t="shared" si="13"/>
        <v>0</v>
      </c>
      <c r="BR60" s="43">
        <f t="shared" si="13"/>
        <v>0</v>
      </c>
      <c r="BS60" s="43">
        <f t="shared" si="13"/>
        <v>0</v>
      </c>
      <c r="BT60" s="43">
        <f t="shared" si="13"/>
        <v>0</v>
      </c>
      <c r="BU60" s="43">
        <f>SUM(tblSOW8[[#This Row],[P1]:[P12]])</f>
        <v>0</v>
      </c>
      <c r="BV60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60" s="43">
        <f>IFERROR(VLOOKUP(K60,[30]Parameters!BN:BW,10,0),0)</f>
        <v>0</v>
      </c>
      <c r="BX60" s="43">
        <f>SUM(tblSOW8[[#This Row],[Jan 2023 USD]:[Mar 2023 USD]])</f>
        <v>0</v>
      </c>
      <c r="BY60" s="43">
        <f>SUM(tblSOW8[[#This Row],[Apr 2023 USD]:[Jun 2023 USD]])</f>
        <v>0</v>
      </c>
      <c r="BZ60" s="43">
        <f>SUM(tblSOW8[[#This Row],[Jul 2023 USD]:[Sep 2023 USD]])</f>
        <v>0</v>
      </c>
      <c r="CA60" s="43">
        <f>SUM(tblSOW8[[#This Row],[Oct 2023 USD]:[Dec 2023 USD]])</f>
        <v>0</v>
      </c>
    </row>
    <row r="61" spans="1:79" s="36" customFormat="1">
      <c r="A61" s="5"/>
      <c r="B61" s="5"/>
      <c r="C61" s="5"/>
      <c r="D61" s="39"/>
      <c r="E61" s="40"/>
      <c r="F61" s="39"/>
      <c r="G61" s="5"/>
      <c r="H61" s="5"/>
      <c r="I61" s="3"/>
      <c r="J61" s="3"/>
      <c r="K61" s="3"/>
      <c r="L61" s="5"/>
      <c r="M61" s="45"/>
      <c r="N61" s="112"/>
      <c r="O61" s="3"/>
      <c r="P61" s="8"/>
      <c r="Q61" s="8"/>
      <c r="R61" s="5"/>
      <c r="S61" s="5"/>
      <c r="T61" s="3"/>
      <c r="U61" s="3"/>
      <c r="V61" s="3"/>
      <c r="W61" s="3"/>
      <c r="X61" s="5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>
        <f t="shared" si="13"/>
        <v>0</v>
      </c>
      <c r="BQ61" s="43">
        <f t="shared" si="13"/>
        <v>0</v>
      </c>
      <c r="BR61" s="43">
        <f t="shared" si="13"/>
        <v>0</v>
      </c>
      <c r="BS61" s="43">
        <f t="shared" si="13"/>
        <v>0</v>
      </c>
      <c r="BT61" s="43">
        <f t="shared" si="13"/>
        <v>0</v>
      </c>
      <c r="BU61" s="43">
        <f>SUM(tblSOW8[[#This Row],[P1]:[P12]])</f>
        <v>0</v>
      </c>
      <c r="BV61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61" s="43">
        <f>IFERROR(VLOOKUP(K61,[30]Parameters!BN:BW,10,0),0)</f>
        <v>0</v>
      </c>
      <c r="BX61" s="43">
        <f>SUM(tblSOW8[[#This Row],[Jan 2023 USD]:[Mar 2023 USD]])</f>
        <v>0</v>
      </c>
      <c r="BY61" s="43">
        <f>SUM(tblSOW8[[#This Row],[Apr 2023 USD]:[Jun 2023 USD]])</f>
        <v>0</v>
      </c>
      <c r="BZ61" s="43">
        <f>SUM(tblSOW8[[#This Row],[Jul 2023 USD]:[Sep 2023 USD]])</f>
        <v>0</v>
      </c>
      <c r="CA61" s="43">
        <f>SUM(tblSOW8[[#This Row],[Oct 2023 USD]:[Dec 2023 USD]])</f>
        <v>0</v>
      </c>
    </row>
    <row r="62" spans="1:79" s="36" customFormat="1">
      <c r="A62" s="5"/>
      <c r="B62" s="5"/>
      <c r="C62" s="5"/>
      <c r="D62" s="39"/>
      <c r="E62" s="40"/>
      <c r="F62" s="39"/>
      <c r="G62" s="5"/>
      <c r="H62" s="5"/>
      <c r="I62" s="3"/>
      <c r="J62" s="3"/>
      <c r="K62" s="3"/>
      <c r="L62" s="5"/>
      <c r="M62" s="45"/>
      <c r="N62" s="112"/>
      <c r="O62" s="3"/>
      <c r="P62" s="8"/>
      <c r="Q62" s="8"/>
      <c r="R62" s="5"/>
      <c r="S62" s="5"/>
      <c r="T62" s="3"/>
      <c r="U62" s="3"/>
      <c r="V62" s="3"/>
      <c r="W62" s="3"/>
      <c r="X62" s="5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>
        <f t="shared" si="13"/>
        <v>0</v>
      </c>
      <c r="BQ62" s="43">
        <f t="shared" si="13"/>
        <v>0</v>
      </c>
      <c r="BR62" s="43">
        <f t="shared" si="13"/>
        <v>0</v>
      </c>
      <c r="BS62" s="43">
        <f t="shared" si="13"/>
        <v>0</v>
      </c>
      <c r="BT62" s="43">
        <f t="shared" si="13"/>
        <v>0</v>
      </c>
      <c r="BU62" s="43">
        <f>SUM(tblSOW8[[#This Row],[P1]:[P12]])</f>
        <v>0</v>
      </c>
      <c r="BV62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62" s="43">
        <f>IFERROR(VLOOKUP(K62,[30]Parameters!BN:BW,10,0),0)</f>
        <v>0</v>
      </c>
      <c r="BX62" s="43">
        <f>SUM(tblSOW8[[#This Row],[Jan 2023 USD]:[Mar 2023 USD]])</f>
        <v>0</v>
      </c>
      <c r="BY62" s="43">
        <f>SUM(tblSOW8[[#This Row],[Apr 2023 USD]:[Jun 2023 USD]])</f>
        <v>0</v>
      </c>
      <c r="BZ62" s="43">
        <f>SUM(tblSOW8[[#This Row],[Jul 2023 USD]:[Sep 2023 USD]])</f>
        <v>0</v>
      </c>
      <c r="CA62" s="43">
        <f>SUM(tblSOW8[[#This Row],[Oct 2023 USD]:[Dec 2023 USD]])</f>
        <v>0</v>
      </c>
    </row>
    <row r="63" spans="1:79" s="36" customFormat="1">
      <c r="A63" s="5"/>
      <c r="B63" s="5"/>
      <c r="C63" s="5"/>
      <c r="D63" s="39"/>
      <c r="E63" s="40"/>
      <c r="F63" s="39"/>
      <c r="G63" s="5"/>
      <c r="H63" s="5"/>
      <c r="I63" s="3"/>
      <c r="J63" s="3"/>
      <c r="K63" s="3"/>
      <c r="L63" s="5"/>
      <c r="M63" s="45"/>
      <c r="N63" s="112"/>
      <c r="O63" s="3"/>
      <c r="P63" s="8"/>
      <c r="Q63" s="8"/>
      <c r="R63" s="5"/>
      <c r="S63" s="5"/>
      <c r="T63" s="3"/>
      <c r="U63" s="3"/>
      <c r="V63" s="3"/>
      <c r="W63" s="3"/>
      <c r="X63" s="5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>
        <f t="shared" si="13"/>
        <v>0</v>
      </c>
      <c r="BQ63" s="43">
        <f t="shared" si="13"/>
        <v>0</v>
      </c>
      <c r="BR63" s="43">
        <f t="shared" si="13"/>
        <v>0</v>
      </c>
      <c r="BS63" s="43">
        <f t="shared" si="13"/>
        <v>0</v>
      </c>
      <c r="BT63" s="43">
        <f t="shared" si="13"/>
        <v>0</v>
      </c>
      <c r="BU63" s="43">
        <f>SUM(tblSOW8[[#This Row],[P1]:[P12]])</f>
        <v>0</v>
      </c>
      <c r="BV63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63" s="43">
        <f>IFERROR(VLOOKUP(K63,[30]Parameters!BN:BW,10,0),0)</f>
        <v>0</v>
      </c>
      <c r="BX63" s="43">
        <f>SUM(tblSOW8[[#This Row],[Jan 2023 USD]:[Mar 2023 USD]])</f>
        <v>0</v>
      </c>
      <c r="BY63" s="43">
        <f>SUM(tblSOW8[[#This Row],[Apr 2023 USD]:[Jun 2023 USD]])</f>
        <v>0</v>
      </c>
      <c r="BZ63" s="43">
        <f>SUM(tblSOW8[[#This Row],[Jul 2023 USD]:[Sep 2023 USD]])</f>
        <v>0</v>
      </c>
      <c r="CA63" s="43">
        <f>SUM(tblSOW8[[#This Row],[Oct 2023 USD]:[Dec 2023 USD]])</f>
        <v>0</v>
      </c>
    </row>
    <row r="64" spans="1:79" s="36" customFormat="1">
      <c r="A64" s="5"/>
      <c r="B64" s="5"/>
      <c r="C64" s="5"/>
      <c r="D64" s="39"/>
      <c r="E64" s="40"/>
      <c r="F64" s="39"/>
      <c r="G64" s="5"/>
      <c r="H64" s="5"/>
      <c r="I64" s="3"/>
      <c r="J64" s="3"/>
      <c r="K64" s="3"/>
      <c r="L64" s="5"/>
      <c r="M64" s="45"/>
      <c r="N64" s="112"/>
      <c r="O64" s="3"/>
      <c r="P64" s="8"/>
      <c r="Q64" s="8"/>
      <c r="R64" s="5"/>
      <c r="S64" s="5"/>
      <c r="T64" s="3"/>
      <c r="U64" s="3"/>
      <c r="V64" s="3"/>
      <c r="W64" s="3"/>
      <c r="X64" s="5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>
        <f t="shared" si="13"/>
        <v>0</v>
      </c>
      <c r="BQ64" s="43">
        <f t="shared" si="13"/>
        <v>0</v>
      </c>
      <c r="BR64" s="43">
        <f t="shared" si="13"/>
        <v>0</v>
      </c>
      <c r="BS64" s="43">
        <f t="shared" si="13"/>
        <v>0</v>
      </c>
      <c r="BT64" s="43">
        <f t="shared" si="13"/>
        <v>0</v>
      </c>
      <c r="BU64" s="43">
        <f>SUM(tblSOW8[[#This Row],[P1]:[P12]])</f>
        <v>0</v>
      </c>
      <c r="BV64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64" s="43">
        <f>IFERROR(VLOOKUP(K64,[30]Parameters!BN:BW,10,0),0)</f>
        <v>0</v>
      </c>
      <c r="BX64" s="43">
        <f>SUM(tblSOW8[[#This Row],[Jan 2023 USD]:[Mar 2023 USD]])</f>
        <v>0</v>
      </c>
      <c r="BY64" s="43">
        <f>SUM(tblSOW8[[#This Row],[Apr 2023 USD]:[Jun 2023 USD]])</f>
        <v>0</v>
      </c>
      <c r="BZ64" s="43">
        <f>SUM(tblSOW8[[#This Row],[Jul 2023 USD]:[Sep 2023 USD]])</f>
        <v>0</v>
      </c>
      <c r="CA64" s="43">
        <f>SUM(tblSOW8[[#This Row],[Oct 2023 USD]:[Dec 2023 USD]])</f>
        <v>0</v>
      </c>
    </row>
    <row r="65" spans="1:79" s="36" customFormat="1">
      <c r="A65" s="5"/>
      <c r="B65" s="5"/>
      <c r="C65" s="5"/>
      <c r="D65" s="39"/>
      <c r="E65" s="40"/>
      <c r="F65" s="39"/>
      <c r="G65" s="5"/>
      <c r="H65" s="5"/>
      <c r="I65" s="3"/>
      <c r="J65" s="3"/>
      <c r="K65" s="3"/>
      <c r="L65" s="5"/>
      <c r="M65" s="45"/>
      <c r="N65" s="112"/>
      <c r="O65" s="3"/>
      <c r="P65" s="8"/>
      <c r="Q65" s="8"/>
      <c r="R65" s="5"/>
      <c r="S65" s="5"/>
      <c r="T65" s="3"/>
      <c r="U65" s="3"/>
      <c r="V65" s="3"/>
      <c r="W65" s="3"/>
      <c r="X65" s="5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>
        <f t="shared" si="13"/>
        <v>0</v>
      </c>
      <c r="BQ65" s="43">
        <f t="shared" si="13"/>
        <v>0</v>
      </c>
      <c r="BR65" s="43">
        <f t="shared" si="13"/>
        <v>0</v>
      </c>
      <c r="BS65" s="43">
        <f t="shared" si="13"/>
        <v>0</v>
      </c>
      <c r="BT65" s="43">
        <f t="shared" si="13"/>
        <v>0</v>
      </c>
      <c r="BU65" s="43">
        <f>SUM(tblSOW8[[#This Row],[P1]:[P12]])</f>
        <v>0</v>
      </c>
      <c r="BV65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65" s="43">
        <f>IFERROR(VLOOKUP(K65,[30]Parameters!BN:BW,10,0),0)</f>
        <v>0</v>
      </c>
      <c r="BX65" s="43">
        <f>SUM(tblSOW8[[#This Row],[Jan 2023 USD]:[Mar 2023 USD]])</f>
        <v>0</v>
      </c>
      <c r="BY65" s="43">
        <f>SUM(tblSOW8[[#This Row],[Apr 2023 USD]:[Jun 2023 USD]])</f>
        <v>0</v>
      </c>
      <c r="BZ65" s="43">
        <f>SUM(tblSOW8[[#This Row],[Jul 2023 USD]:[Sep 2023 USD]])</f>
        <v>0</v>
      </c>
      <c r="CA65" s="43">
        <f>SUM(tblSOW8[[#This Row],[Oct 2023 USD]:[Dec 2023 USD]])</f>
        <v>0</v>
      </c>
    </row>
    <row r="66" spans="1:79" s="36" customFormat="1">
      <c r="A66" s="5"/>
      <c r="B66" s="5"/>
      <c r="C66" s="5"/>
      <c r="D66" s="39"/>
      <c r="E66" s="40"/>
      <c r="F66" s="39"/>
      <c r="G66" s="5"/>
      <c r="H66" s="5"/>
      <c r="I66" s="3"/>
      <c r="J66" s="3"/>
      <c r="K66" s="3"/>
      <c r="L66" s="5"/>
      <c r="M66" s="45"/>
      <c r="N66" s="112"/>
      <c r="O66" s="3"/>
      <c r="P66" s="8"/>
      <c r="Q66" s="8"/>
      <c r="R66" s="5"/>
      <c r="S66" s="5"/>
      <c r="T66" s="3"/>
      <c r="U66" s="3"/>
      <c r="V66" s="3"/>
      <c r="W66" s="3"/>
      <c r="X66" s="5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>
        <f t="shared" si="13"/>
        <v>0</v>
      </c>
      <c r="BQ66" s="43">
        <f t="shared" si="13"/>
        <v>0</v>
      </c>
      <c r="BR66" s="43">
        <f t="shared" si="13"/>
        <v>0</v>
      </c>
      <c r="BS66" s="43">
        <f t="shared" si="13"/>
        <v>0</v>
      </c>
      <c r="BT66" s="43">
        <f t="shared" si="13"/>
        <v>0</v>
      </c>
      <c r="BU66" s="43">
        <f>SUM(tblSOW8[[#This Row],[P1]:[P12]])</f>
        <v>0</v>
      </c>
      <c r="BV66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66" s="43">
        <f>IFERROR(VLOOKUP(K66,[30]Parameters!BN:BW,10,0),0)</f>
        <v>0</v>
      </c>
      <c r="BX66" s="43">
        <f>SUM(tblSOW8[[#This Row],[Jan 2023 USD]:[Mar 2023 USD]])</f>
        <v>0</v>
      </c>
      <c r="BY66" s="43">
        <f>SUM(tblSOW8[[#This Row],[Apr 2023 USD]:[Jun 2023 USD]])</f>
        <v>0</v>
      </c>
      <c r="BZ66" s="43">
        <f>SUM(tblSOW8[[#This Row],[Jul 2023 USD]:[Sep 2023 USD]])</f>
        <v>0</v>
      </c>
      <c r="CA66" s="43">
        <f>SUM(tblSOW8[[#This Row],[Oct 2023 USD]:[Dec 2023 USD]])</f>
        <v>0</v>
      </c>
    </row>
    <row r="67" spans="1:79" s="36" customFormat="1">
      <c r="A67" s="5"/>
      <c r="B67" s="5"/>
      <c r="C67" s="5"/>
      <c r="D67" s="39"/>
      <c r="E67" s="40"/>
      <c r="F67" s="39"/>
      <c r="G67" s="5"/>
      <c r="H67" s="5"/>
      <c r="I67" s="3"/>
      <c r="J67" s="3"/>
      <c r="K67" s="3"/>
      <c r="L67" s="5"/>
      <c r="M67" s="45"/>
      <c r="N67" s="112"/>
      <c r="O67" s="3"/>
      <c r="P67" s="8"/>
      <c r="Q67" s="8"/>
      <c r="R67" s="5"/>
      <c r="S67" s="5"/>
      <c r="T67" s="3"/>
      <c r="U67" s="3"/>
      <c r="V67" s="3"/>
      <c r="W67" s="3"/>
      <c r="X67" s="5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>
        <f t="shared" si="13"/>
        <v>0</v>
      </c>
      <c r="BQ67" s="43">
        <f t="shared" si="13"/>
        <v>0</v>
      </c>
      <c r="BR67" s="43">
        <f t="shared" si="13"/>
        <v>0</v>
      </c>
      <c r="BS67" s="43">
        <f t="shared" si="13"/>
        <v>0</v>
      </c>
      <c r="BT67" s="43">
        <f t="shared" si="13"/>
        <v>0</v>
      </c>
      <c r="BU67" s="43">
        <f>SUM(tblSOW8[[#This Row],[P1]:[P12]])</f>
        <v>0</v>
      </c>
      <c r="BV67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67" s="43">
        <f>IFERROR(VLOOKUP(K67,[30]Parameters!BN:BW,10,0),0)</f>
        <v>0</v>
      </c>
      <c r="BX67" s="43">
        <f>SUM(tblSOW8[[#This Row],[Jan 2023 USD]:[Mar 2023 USD]])</f>
        <v>0</v>
      </c>
      <c r="BY67" s="43">
        <f>SUM(tblSOW8[[#This Row],[Apr 2023 USD]:[Jun 2023 USD]])</f>
        <v>0</v>
      </c>
      <c r="BZ67" s="43">
        <f>SUM(tblSOW8[[#This Row],[Jul 2023 USD]:[Sep 2023 USD]])</f>
        <v>0</v>
      </c>
      <c r="CA67" s="43">
        <f>SUM(tblSOW8[[#This Row],[Oct 2023 USD]:[Dec 2023 USD]])</f>
        <v>0</v>
      </c>
    </row>
    <row r="68" spans="1:79" s="36" customFormat="1">
      <c r="A68" s="5"/>
      <c r="B68" s="5"/>
      <c r="C68" s="5"/>
      <c r="D68" s="39"/>
      <c r="E68" s="40"/>
      <c r="F68" s="39"/>
      <c r="G68" s="5"/>
      <c r="H68" s="5"/>
      <c r="I68" s="3"/>
      <c r="J68" s="3"/>
      <c r="K68" s="3"/>
      <c r="L68" s="5"/>
      <c r="M68" s="45"/>
      <c r="N68" s="112"/>
      <c r="O68" s="3"/>
      <c r="P68" s="8"/>
      <c r="Q68" s="8"/>
      <c r="R68" s="5"/>
      <c r="S68" s="5"/>
      <c r="T68" s="3"/>
      <c r="U68" s="3"/>
      <c r="V68" s="3"/>
      <c r="W68" s="3"/>
      <c r="X68" s="5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>
        <f t="shared" si="13"/>
        <v>0</v>
      </c>
      <c r="BQ68" s="43">
        <f t="shared" si="13"/>
        <v>0</v>
      </c>
      <c r="BR68" s="43">
        <f t="shared" si="13"/>
        <v>0</v>
      </c>
      <c r="BS68" s="43">
        <f t="shared" si="13"/>
        <v>0</v>
      </c>
      <c r="BT68" s="43">
        <f t="shared" si="13"/>
        <v>0</v>
      </c>
      <c r="BU68" s="43">
        <f>SUM(tblSOW8[[#This Row],[P1]:[P12]])</f>
        <v>0</v>
      </c>
      <c r="BV68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68" s="43">
        <f>IFERROR(VLOOKUP(K68,[30]Parameters!BN:BW,10,0),0)</f>
        <v>0</v>
      </c>
      <c r="BX68" s="43">
        <f>SUM(tblSOW8[[#This Row],[Jan 2023 USD]:[Mar 2023 USD]])</f>
        <v>0</v>
      </c>
      <c r="BY68" s="43">
        <f>SUM(tblSOW8[[#This Row],[Apr 2023 USD]:[Jun 2023 USD]])</f>
        <v>0</v>
      </c>
      <c r="BZ68" s="43">
        <f>SUM(tblSOW8[[#This Row],[Jul 2023 USD]:[Sep 2023 USD]])</f>
        <v>0</v>
      </c>
      <c r="CA68" s="43">
        <f>SUM(tblSOW8[[#This Row],[Oct 2023 USD]:[Dec 2023 USD]])</f>
        <v>0</v>
      </c>
    </row>
    <row r="69" spans="1:79" s="36" customFormat="1">
      <c r="A69" s="5"/>
      <c r="B69" s="5"/>
      <c r="C69" s="5"/>
      <c r="D69" s="39"/>
      <c r="E69" s="40"/>
      <c r="F69" s="39"/>
      <c r="G69" s="5"/>
      <c r="H69" s="5"/>
      <c r="I69" s="3"/>
      <c r="J69" s="3"/>
      <c r="K69" s="3"/>
      <c r="L69" s="5"/>
      <c r="M69" s="45"/>
      <c r="N69" s="112"/>
      <c r="O69" s="3"/>
      <c r="P69" s="8"/>
      <c r="Q69" s="8"/>
      <c r="R69" s="5"/>
      <c r="S69" s="5"/>
      <c r="T69" s="3"/>
      <c r="U69" s="3"/>
      <c r="V69" s="3"/>
      <c r="W69" s="3"/>
      <c r="X69" s="5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>
        <f t="shared" ref="BP69:BT119" si="14">IF($S69&gt;0,IF(AND(MONTH($P69)&lt;=BP$1,MONTH($Q69)&gt;=BP$1),1,0),0)</f>
        <v>0</v>
      </c>
      <c r="BQ69" s="43">
        <f t="shared" si="14"/>
        <v>0</v>
      </c>
      <c r="BR69" s="43">
        <f t="shared" si="14"/>
        <v>0</v>
      </c>
      <c r="BS69" s="43">
        <f t="shared" si="14"/>
        <v>0</v>
      </c>
      <c r="BT69" s="43">
        <f t="shared" si="14"/>
        <v>0</v>
      </c>
      <c r="BU69" s="43">
        <f>SUM(tblSOW8[[#This Row],[P1]:[P12]])</f>
        <v>0</v>
      </c>
      <c r="BV69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69" s="43">
        <f>IFERROR(VLOOKUP(K69,[30]Parameters!BN:BW,10,0),0)</f>
        <v>0</v>
      </c>
      <c r="BX69" s="43">
        <f>SUM(tblSOW8[[#This Row],[Jan 2023 USD]:[Mar 2023 USD]])</f>
        <v>0</v>
      </c>
      <c r="BY69" s="43">
        <f>SUM(tblSOW8[[#This Row],[Apr 2023 USD]:[Jun 2023 USD]])</f>
        <v>0</v>
      </c>
      <c r="BZ69" s="43">
        <f>SUM(tblSOW8[[#This Row],[Jul 2023 USD]:[Sep 2023 USD]])</f>
        <v>0</v>
      </c>
      <c r="CA69" s="43">
        <f>SUM(tblSOW8[[#This Row],[Oct 2023 USD]:[Dec 2023 USD]])</f>
        <v>0</v>
      </c>
    </row>
    <row r="70" spans="1:79" s="36" customFormat="1">
      <c r="A70" s="5"/>
      <c r="B70" s="5"/>
      <c r="C70" s="5"/>
      <c r="D70" s="39"/>
      <c r="E70" s="40"/>
      <c r="F70" s="39"/>
      <c r="G70" s="5"/>
      <c r="H70" s="5"/>
      <c r="I70" s="3"/>
      <c r="J70" s="3"/>
      <c r="K70" s="3"/>
      <c r="L70" s="5"/>
      <c r="M70" s="45"/>
      <c r="N70" s="112"/>
      <c r="O70" s="3"/>
      <c r="P70" s="8"/>
      <c r="Q70" s="8"/>
      <c r="R70" s="5"/>
      <c r="S70" s="5"/>
      <c r="T70" s="3"/>
      <c r="U70" s="3"/>
      <c r="V70" s="3"/>
      <c r="W70" s="3"/>
      <c r="X70" s="5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>
        <f t="shared" si="14"/>
        <v>0</v>
      </c>
      <c r="BQ70" s="43">
        <f t="shared" si="14"/>
        <v>0</v>
      </c>
      <c r="BR70" s="43">
        <f t="shared" si="14"/>
        <v>0</v>
      </c>
      <c r="BS70" s="43">
        <f t="shared" si="14"/>
        <v>0</v>
      </c>
      <c r="BT70" s="43">
        <f t="shared" si="14"/>
        <v>0</v>
      </c>
      <c r="BU70" s="43">
        <f>SUM(tblSOW8[[#This Row],[P1]:[P12]])</f>
        <v>0</v>
      </c>
      <c r="BV70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70" s="43">
        <f>IFERROR(VLOOKUP(K70,[30]Parameters!BN:BW,10,0),0)</f>
        <v>0</v>
      </c>
      <c r="BX70" s="43">
        <f>SUM(tblSOW8[[#This Row],[Jan 2023 USD]:[Mar 2023 USD]])</f>
        <v>0</v>
      </c>
      <c r="BY70" s="43">
        <f>SUM(tblSOW8[[#This Row],[Apr 2023 USD]:[Jun 2023 USD]])</f>
        <v>0</v>
      </c>
      <c r="BZ70" s="43">
        <f>SUM(tblSOW8[[#This Row],[Jul 2023 USD]:[Sep 2023 USD]])</f>
        <v>0</v>
      </c>
      <c r="CA70" s="43">
        <f>SUM(tblSOW8[[#This Row],[Oct 2023 USD]:[Dec 2023 USD]])</f>
        <v>0</v>
      </c>
    </row>
    <row r="71" spans="1:79" s="36" customFormat="1">
      <c r="A71" s="5"/>
      <c r="B71" s="5"/>
      <c r="C71" s="5"/>
      <c r="D71" s="39"/>
      <c r="E71" s="40"/>
      <c r="F71" s="39"/>
      <c r="G71" s="5"/>
      <c r="H71" s="5"/>
      <c r="I71" s="3"/>
      <c r="J71" s="3"/>
      <c r="K71" s="3"/>
      <c r="L71" s="5"/>
      <c r="M71" s="45"/>
      <c r="N71" s="112"/>
      <c r="O71" s="3"/>
      <c r="P71" s="8"/>
      <c r="Q71" s="8"/>
      <c r="R71" s="5"/>
      <c r="S71" s="5"/>
      <c r="T71" s="3"/>
      <c r="U71" s="3"/>
      <c r="V71" s="3"/>
      <c r="W71" s="3"/>
      <c r="X71" s="5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>
        <f t="shared" si="14"/>
        <v>0</v>
      </c>
      <c r="BQ71" s="43">
        <f t="shared" si="14"/>
        <v>0</v>
      </c>
      <c r="BR71" s="43">
        <f t="shared" si="14"/>
        <v>0</v>
      </c>
      <c r="BS71" s="43">
        <f t="shared" si="14"/>
        <v>0</v>
      </c>
      <c r="BT71" s="43">
        <f t="shared" si="14"/>
        <v>0</v>
      </c>
      <c r="BU71" s="43">
        <f>SUM(tblSOW8[[#This Row],[P1]:[P12]])</f>
        <v>0</v>
      </c>
      <c r="BV71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71" s="43">
        <f>IFERROR(VLOOKUP(K71,[30]Parameters!BN:BW,10,0),0)</f>
        <v>0</v>
      </c>
      <c r="BX71" s="43">
        <f>SUM(tblSOW8[[#This Row],[Jan 2023 USD]:[Mar 2023 USD]])</f>
        <v>0</v>
      </c>
      <c r="BY71" s="43">
        <f>SUM(tblSOW8[[#This Row],[Apr 2023 USD]:[Jun 2023 USD]])</f>
        <v>0</v>
      </c>
      <c r="BZ71" s="43">
        <f>SUM(tblSOW8[[#This Row],[Jul 2023 USD]:[Sep 2023 USD]])</f>
        <v>0</v>
      </c>
      <c r="CA71" s="43">
        <f>SUM(tblSOW8[[#This Row],[Oct 2023 USD]:[Dec 2023 USD]])</f>
        <v>0</v>
      </c>
    </row>
    <row r="72" spans="1:79" s="36" customFormat="1">
      <c r="A72" s="5"/>
      <c r="B72" s="5"/>
      <c r="C72" s="5"/>
      <c r="D72" s="39"/>
      <c r="E72" s="40"/>
      <c r="F72" s="39"/>
      <c r="G72" s="5"/>
      <c r="H72" s="5"/>
      <c r="I72" s="3"/>
      <c r="J72" s="3"/>
      <c r="K72" s="3"/>
      <c r="L72" s="5"/>
      <c r="M72" s="45"/>
      <c r="N72" s="112"/>
      <c r="O72" s="3"/>
      <c r="P72" s="8"/>
      <c r="Q72" s="8"/>
      <c r="R72" s="5"/>
      <c r="S72" s="5"/>
      <c r="T72" s="3"/>
      <c r="U72" s="3"/>
      <c r="V72" s="3"/>
      <c r="W72" s="3"/>
      <c r="X72" s="5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>
        <f t="shared" si="14"/>
        <v>0</v>
      </c>
      <c r="BQ72" s="43">
        <f t="shared" si="14"/>
        <v>0</v>
      </c>
      <c r="BR72" s="43">
        <f t="shared" si="14"/>
        <v>0</v>
      </c>
      <c r="BS72" s="43">
        <f t="shared" si="14"/>
        <v>0</v>
      </c>
      <c r="BT72" s="43">
        <f t="shared" si="14"/>
        <v>0</v>
      </c>
      <c r="BU72" s="43">
        <f>SUM(tblSOW8[[#This Row],[P1]:[P12]])</f>
        <v>0</v>
      </c>
      <c r="BV72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72" s="43">
        <f>IFERROR(VLOOKUP(K72,[30]Parameters!BN:BW,10,0),0)</f>
        <v>0</v>
      </c>
      <c r="BX72" s="43">
        <f>SUM(tblSOW8[[#This Row],[Jan 2023 USD]:[Mar 2023 USD]])</f>
        <v>0</v>
      </c>
      <c r="BY72" s="43">
        <f>SUM(tblSOW8[[#This Row],[Apr 2023 USD]:[Jun 2023 USD]])</f>
        <v>0</v>
      </c>
      <c r="BZ72" s="43">
        <f>SUM(tblSOW8[[#This Row],[Jul 2023 USD]:[Sep 2023 USD]])</f>
        <v>0</v>
      </c>
      <c r="CA72" s="43">
        <f>SUM(tblSOW8[[#This Row],[Oct 2023 USD]:[Dec 2023 USD]])</f>
        <v>0</v>
      </c>
    </row>
    <row r="73" spans="1:79" s="36" customFormat="1">
      <c r="A73" s="5"/>
      <c r="B73" s="5"/>
      <c r="C73" s="5"/>
      <c r="D73" s="39"/>
      <c r="E73" s="40"/>
      <c r="F73" s="39"/>
      <c r="G73" s="5"/>
      <c r="H73" s="5"/>
      <c r="I73" s="3"/>
      <c r="J73" s="3"/>
      <c r="K73" s="3"/>
      <c r="L73" s="5"/>
      <c r="M73" s="45"/>
      <c r="N73" s="112"/>
      <c r="O73" s="3"/>
      <c r="P73" s="8"/>
      <c r="Q73" s="8"/>
      <c r="R73" s="5"/>
      <c r="S73" s="5"/>
      <c r="T73" s="3"/>
      <c r="U73" s="3"/>
      <c r="V73" s="3"/>
      <c r="W73" s="3"/>
      <c r="X73" s="5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>
        <f t="shared" si="14"/>
        <v>0</v>
      </c>
      <c r="BQ73" s="43">
        <f t="shared" si="14"/>
        <v>0</v>
      </c>
      <c r="BR73" s="43">
        <f t="shared" si="14"/>
        <v>0</v>
      </c>
      <c r="BS73" s="43">
        <f t="shared" si="14"/>
        <v>0</v>
      </c>
      <c r="BT73" s="43">
        <f t="shared" si="14"/>
        <v>0</v>
      </c>
      <c r="BU73" s="43">
        <f>SUM(tblSOW8[[#This Row],[P1]:[P12]])</f>
        <v>0</v>
      </c>
      <c r="BV73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73" s="43">
        <f>IFERROR(VLOOKUP(K73,[30]Parameters!BN:BW,10,0),0)</f>
        <v>0</v>
      </c>
      <c r="BX73" s="43">
        <f>SUM(tblSOW8[[#This Row],[Jan 2023 USD]:[Mar 2023 USD]])</f>
        <v>0</v>
      </c>
      <c r="BY73" s="43">
        <f>SUM(tblSOW8[[#This Row],[Apr 2023 USD]:[Jun 2023 USD]])</f>
        <v>0</v>
      </c>
      <c r="BZ73" s="43">
        <f>SUM(tblSOW8[[#This Row],[Jul 2023 USD]:[Sep 2023 USD]])</f>
        <v>0</v>
      </c>
      <c r="CA73" s="43">
        <f>SUM(tblSOW8[[#This Row],[Oct 2023 USD]:[Dec 2023 USD]])</f>
        <v>0</v>
      </c>
    </row>
    <row r="74" spans="1:79" s="36" customFormat="1">
      <c r="A74" s="5"/>
      <c r="B74" s="5"/>
      <c r="C74" s="5"/>
      <c r="D74" s="39"/>
      <c r="E74" s="40"/>
      <c r="F74" s="39"/>
      <c r="G74" s="5"/>
      <c r="H74" s="5"/>
      <c r="I74" s="3"/>
      <c r="J74" s="3"/>
      <c r="K74" s="3"/>
      <c r="L74" s="5"/>
      <c r="M74" s="45"/>
      <c r="N74" s="112"/>
      <c r="O74" s="3"/>
      <c r="P74" s="8"/>
      <c r="Q74" s="8"/>
      <c r="R74" s="5"/>
      <c r="S74" s="5"/>
      <c r="T74" s="3"/>
      <c r="U74" s="3"/>
      <c r="V74" s="3"/>
      <c r="W74" s="3"/>
      <c r="X74" s="5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>
        <f t="shared" si="14"/>
        <v>0</v>
      </c>
      <c r="BQ74" s="43">
        <f t="shared" si="14"/>
        <v>0</v>
      </c>
      <c r="BR74" s="43">
        <f t="shared" si="14"/>
        <v>0</v>
      </c>
      <c r="BS74" s="43">
        <f t="shared" si="14"/>
        <v>0</v>
      </c>
      <c r="BT74" s="43">
        <f t="shared" si="14"/>
        <v>0</v>
      </c>
      <c r="BU74" s="43">
        <f>SUM(tblSOW8[[#This Row],[P1]:[P12]])</f>
        <v>0</v>
      </c>
      <c r="BV74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74" s="43">
        <f>IFERROR(VLOOKUP(K74,[30]Parameters!BN:BW,10,0),0)</f>
        <v>0</v>
      </c>
      <c r="BX74" s="43">
        <f>SUM(tblSOW8[[#This Row],[Jan 2023 USD]:[Mar 2023 USD]])</f>
        <v>0</v>
      </c>
      <c r="BY74" s="43">
        <f>SUM(tblSOW8[[#This Row],[Apr 2023 USD]:[Jun 2023 USD]])</f>
        <v>0</v>
      </c>
      <c r="BZ74" s="43">
        <f>SUM(tblSOW8[[#This Row],[Jul 2023 USD]:[Sep 2023 USD]])</f>
        <v>0</v>
      </c>
      <c r="CA74" s="43">
        <f>SUM(tblSOW8[[#This Row],[Oct 2023 USD]:[Dec 2023 USD]])</f>
        <v>0</v>
      </c>
    </row>
    <row r="75" spans="1:79" s="36" customFormat="1">
      <c r="A75" s="5"/>
      <c r="B75" s="5"/>
      <c r="C75" s="5"/>
      <c r="D75" s="39"/>
      <c r="E75" s="40"/>
      <c r="F75" s="39"/>
      <c r="G75" s="5"/>
      <c r="H75" s="5"/>
      <c r="I75" s="3"/>
      <c r="J75" s="3"/>
      <c r="K75" s="3"/>
      <c r="L75" s="5"/>
      <c r="M75" s="45"/>
      <c r="N75" s="112"/>
      <c r="O75" s="3"/>
      <c r="P75" s="8"/>
      <c r="Q75" s="8"/>
      <c r="R75" s="5"/>
      <c r="S75" s="5"/>
      <c r="T75" s="3"/>
      <c r="U75" s="3"/>
      <c r="V75" s="3"/>
      <c r="W75" s="3"/>
      <c r="X75" s="5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>
        <f t="shared" si="14"/>
        <v>0</v>
      </c>
      <c r="BQ75" s="43">
        <f t="shared" si="14"/>
        <v>0</v>
      </c>
      <c r="BR75" s="43">
        <f t="shared" si="14"/>
        <v>0</v>
      </c>
      <c r="BS75" s="43">
        <f t="shared" si="14"/>
        <v>0</v>
      </c>
      <c r="BT75" s="43">
        <f t="shared" si="14"/>
        <v>0</v>
      </c>
      <c r="BU75" s="43">
        <f>SUM(tblSOW8[[#This Row],[P1]:[P12]])</f>
        <v>0</v>
      </c>
      <c r="BV75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75" s="43">
        <f>IFERROR(VLOOKUP(K75,[30]Parameters!BN:BW,10,0),0)</f>
        <v>0</v>
      </c>
      <c r="BX75" s="43">
        <f>SUM(tblSOW8[[#This Row],[Jan 2023 USD]:[Mar 2023 USD]])</f>
        <v>0</v>
      </c>
      <c r="BY75" s="43">
        <f>SUM(tblSOW8[[#This Row],[Apr 2023 USD]:[Jun 2023 USD]])</f>
        <v>0</v>
      </c>
      <c r="BZ75" s="43">
        <f>SUM(tblSOW8[[#This Row],[Jul 2023 USD]:[Sep 2023 USD]])</f>
        <v>0</v>
      </c>
      <c r="CA75" s="43">
        <f>SUM(tblSOW8[[#This Row],[Oct 2023 USD]:[Dec 2023 USD]])</f>
        <v>0</v>
      </c>
    </row>
    <row r="76" spans="1:79" s="36" customFormat="1">
      <c r="A76" s="5"/>
      <c r="B76" s="5"/>
      <c r="C76" s="5"/>
      <c r="D76" s="39"/>
      <c r="E76" s="40"/>
      <c r="F76" s="39"/>
      <c r="G76" s="5"/>
      <c r="H76" s="5"/>
      <c r="I76" s="3"/>
      <c r="J76" s="3"/>
      <c r="K76" s="3"/>
      <c r="L76" s="5"/>
      <c r="M76" s="45"/>
      <c r="N76" s="112"/>
      <c r="O76" s="3"/>
      <c r="P76" s="8"/>
      <c r="Q76" s="8"/>
      <c r="R76" s="5"/>
      <c r="S76" s="5"/>
      <c r="T76" s="3"/>
      <c r="U76" s="3"/>
      <c r="V76" s="3"/>
      <c r="W76" s="3"/>
      <c r="X76" s="5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>
        <f t="shared" si="14"/>
        <v>0</v>
      </c>
      <c r="BQ76" s="43">
        <f t="shared" si="14"/>
        <v>0</v>
      </c>
      <c r="BR76" s="43">
        <f t="shared" si="14"/>
        <v>0</v>
      </c>
      <c r="BS76" s="43">
        <f t="shared" si="14"/>
        <v>0</v>
      </c>
      <c r="BT76" s="43">
        <f t="shared" si="14"/>
        <v>0</v>
      </c>
      <c r="BU76" s="43">
        <f>SUM(tblSOW8[[#This Row],[P1]:[P12]])</f>
        <v>0</v>
      </c>
      <c r="BV76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76" s="43">
        <f>IFERROR(VLOOKUP(K76,[30]Parameters!BN:BW,10,0),0)</f>
        <v>0</v>
      </c>
      <c r="BX76" s="43">
        <f>SUM(tblSOW8[[#This Row],[Jan 2023 USD]:[Mar 2023 USD]])</f>
        <v>0</v>
      </c>
      <c r="BY76" s="43">
        <f>SUM(tblSOW8[[#This Row],[Apr 2023 USD]:[Jun 2023 USD]])</f>
        <v>0</v>
      </c>
      <c r="BZ76" s="43">
        <f>SUM(tblSOW8[[#This Row],[Jul 2023 USD]:[Sep 2023 USD]])</f>
        <v>0</v>
      </c>
      <c r="CA76" s="43">
        <f>SUM(tblSOW8[[#This Row],[Oct 2023 USD]:[Dec 2023 USD]])</f>
        <v>0</v>
      </c>
    </row>
    <row r="77" spans="1:79" s="36" customFormat="1">
      <c r="A77" s="5"/>
      <c r="B77" s="5"/>
      <c r="C77" s="5"/>
      <c r="D77" s="39"/>
      <c r="E77" s="40"/>
      <c r="F77" s="39"/>
      <c r="G77" s="5"/>
      <c r="H77" s="5"/>
      <c r="I77" s="3"/>
      <c r="J77" s="3"/>
      <c r="K77" s="3"/>
      <c r="L77" s="5"/>
      <c r="M77" s="45"/>
      <c r="N77" s="112"/>
      <c r="O77" s="3"/>
      <c r="P77" s="8"/>
      <c r="Q77" s="8"/>
      <c r="R77" s="5"/>
      <c r="S77" s="5"/>
      <c r="T77" s="3"/>
      <c r="U77" s="3"/>
      <c r="V77" s="3"/>
      <c r="W77" s="3"/>
      <c r="X77" s="5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>
        <f t="shared" si="14"/>
        <v>0</v>
      </c>
      <c r="BQ77" s="43">
        <f t="shared" si="14"/>
        <v>0</v>
      </c>
      <c r="BR77" s="43">
        <f t="shared" si="14"/>
        <v>0</v>
      </c>
      <c r="BS77" s="43">
        <f t="shared" si="14"/>
        <v>0</v>
      </c>
      <c r="BT77" s="43">
        <f t="shared" si="14"/>
        <v>0</v>
      </c>
      <c r="BU77" s="43">
        <f>SUM(tblSOW8[[#This Row],[P1]:[P12]])</f>
        <v>0</v>
      </c>
      <c r="BV77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77" s="43">
        <f>IFERROR(VLOOKUP(K77,[30]Parameters!BN:BW,10,0),0)</f>
        <v>0</v>
      </c>
      <c r="BX77" s="43">
        <f>SUM(tblSOW8[[#This Row],[Jan 2023 USD]:[Mar 2023 USD]])</f>
        <v>0</v>
      </c>
      <c r="BY77" s="43">
        <f>SUM(tblSOW8[[#This Row],[Apr 2023 USD]:[Jun 2023 USD]])</f>
        <v>0</v>
      </c>
      <c r="BZ77" s="43">
        <f>SUM(tblSOW8[[#This Row],[Jul 2023 USD]:[Sep 2023 USD]])</f>
        <v>0</v>
      </c>
      <c r="CA77" s="43">
        <f>SUM(tblSOW8[[#This Row],[Oct 2023 USD]:[Dec 2023 USD]])</f>
        <v>0</v>
      </c>
    </row>
    <row r="78" spans="1:79" s="36" customFormat="1">
      <c r="A78" s="5"/>
      <c r="B78" s="5"/>
      <c r="C78" s="5"/>
      <c r="D78" s="39"/>
      <c r="E78" s="40"/>
      <c r="F78" s="39"/>
      <c r="G78" s="5"/>
      <c r="H78" s="5"/>
      <c r="I78" s="3"/>
      <c r="J78" s="3"/>
      <c r="K78" s="3"/>
      <c r="L78" s="5"/>
      <c r="M78" s="45"/>
      <c r="N78" s="112"/>
      <c r="O78" s="3"/>
      <c r="P78" s="8"/>
      <c r="Q78" s="8"/>
      <c r="R78" s="5"/>
      <c r="S78" s="5"/>
      <c r="T78" s="3"/>
      <c r="U78" s="3"/>
      <c r="V78" s="3"/>
      <c r="W78" s="3"/>
      <c r="X78" s="5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>
        <f t="shared" si="14"/>
        <v>0</v>
      </c>
      <c r="BQ78" s="43">
        <f t="shared" si="14"/>
        <v>0</v>
      </c>
      <c r="BR78" s="43">
        <f t="shared" si="14"/>
        <v>0</v>
      </c>
      <c r="BS78" s="43">
        <f t="shared" si="14"/>
        <v>0</v>
      </c>
      <c r="BT78" s="43">
        <f t="shared" si="14"/>
        <v>0</v>
      </c>
      <c r="BU78" s="43">
        <f>SUM(tblSOW8[[#This Row],[P1]:[P12]])</f>
        <v>0</v>
      </c>
      <c r="BV78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78" s="43">
        <f>IFERROR(VLOOKUP(K78,[30]Parameters!BN:BW,10,0),0)</f>
        <v>0</v>
      </c>
      <c r="BX78" s="43">
        <f>SUM(tblSOW8[[#This Row],[Jan 2023 USD]:[Mar 2023 USD]])</f>
        <v>0</v>
      </c>
      <c r="BY78" s="43">
        <f>SUM(tblSOW8[[#This Row],[Apr 2023 USD]:[Jun 2023 USD]])</f>
        <v>0</v>
      </c>
      <c r="BZ78" s="43">
        <f>SUM(tblSOW8[[#This Row],[Jul 2023 USD]:[Sep 2023 USD]])</f>
        <v>0</v>
      </c>
      <c r="CA78" s="43">
        <f>SUM(tblSOW8[[#This Row],[Oct 2023 USD]:[Dec 2023 USD]])</f>
        <v>0</v>
      </c>
    </row>
    <row r="79" spans="1:79" s="36" customFormat="1">
      <c r="A79" s="5"/>
      <c r="B79" s="5"/>
      <c r="C79" s="5"/>
      <c r="D79" s="39"/>
      <c r="E79" s="40"/>
      <c r="F79" s="39"/>
      <c r="G79" s="5"/>
      <c r="H79" s="5"/>
      <c r="I79" s="3"/>
      <c r="J79" s="3"/>
      <c r="K79" s="3"/>
      <c r="L79" s="5"/>
      <c r="M79" s="45"/>
      <c r="N79" s="112"/>
      <c r="O79" s="3"/>
      <c r="P79" s="8"/>
      <c r="Q79" s="8"/>
      <c r="R79" s="5"/>
      <c r="S79" s="5"/>
      <c r="T79" s="3"/>
      <c r="U79" s="3"/>
      <c r="V79" s="3"/>
      <c r="W79" s="3"/>
      <c r="X79" s="5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>
        <f t="shared" si="14"/>
        <v>0</v>
      </c>
      <c r="BQ79" s="43">
        <f t="shared" si="14"/>
        <v>0</v>
      </c>
      <c r="BR79" s="43">
        <f t="shared" si="14"/>
        <v>0</v>
      </c>
      <c r="BS79" s="43">
        <f t="shared" si="14"/>
        <v>0</v>
      </c>
      <c r="BT79" s="43">
        <f t="shared" si="14"/>
        <v>0</v>
      </c>
      <c r="BU79" s="43">
        <f>SUM(tblSOW8[[#This Row],[P1]:[P12]])</f>
        <v>0</v>
      </c>
      <c r="BV79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79" s="43">
        <f>IFERROR(VLOOKUP(K79,[30]Parameters!BN:BW,10,0),0)</f>
        <v>0</v>
      </c>
      <c r="BX79" s="43">
        <f>SUM(tblSOW8[[#This Row],[Jan 2023 USD]:[Mar 2023 USD]])</f>
        <v>0</v>
      </c>
      <c r="BY79" s="43">
        <f>SUM(tblSOW8[[#This Row],[Apr 2023 USD]:[Jun 2023 USD]])</f>
        <v>0</v>
      </c>
      <c r="BZ79" s="43">
        <f>SUM(tblSOW8[[#This Row],[Jul 2023 USD]:[Sep 2023 USD]])</f>
        <v>0</v>
      </c>
      <c r="CA79" s="43">
        <f>SUM(tblSOW8[[#This Row],[Oct 2023 USD]:[Dec 2023 USD]])</f>
        <v>0</v>
      </c>
    </row>
    <row r="80" spans="1:79" s="36" customFormat="1">
      <c r="A80" s="5"/>
      <c r="B80" s="5"/>
      <c r="C80" s="5"/>
      <c r="D80" s="39"/>
      <c r="E80" s="40"/>
      <c r="F80" s="39"/>
      <c r="G80" s="5"/>
      <c r="H80" s="5"/>
      <c r="I80" s="3"/>
      <c r="J80" s="3"/>
      <c r="K80" s="3"/>
      <c r="L80" s="5"/>
      <c r="M80" s="45"/>
      <c r="N80" s="112"/>
      <c r="O80" s="3"/>
      <c r="P80" s="8"/>
      <c r="Q80" s="8"/>
      <c r="R80" s="5"/>
      <c r="S80" s="5"/>
      <c r="T80" s="3"/>
      <c r="U80" s="3"/>
      <c r="V80" s="3"/>
      <c r="W80" s="3"/>
      <c r="X80" s="5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>
        <f t="shared" si="14"/>
        <v>0</v>
      </c>
      <c r="BQ80" s="43">
        <f t="shared" si="14"/>
        <v>0</v>
      </c>
      <c r="BR80" s="43">
        <f t="shared" si="14"/>
        <v>0</v>
      </c>
      <c r="BS80" s="43">
        <f t="shared" si="14"/>
        <v>0</v>
      </c>
      <c r="BT80" s="43">
        <f t="shared" si="14"/>
        <v>0</v>
      </c>
      <c r="BU80" s="43">
        <f>SUM(tblSOW8[[#This Row],[P1]:[P12]])</f>
        <v>0</v>
      </c>
      <c r="BV80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80" s="43">
        <f>IFERROR(VLOOKUP(K80,[30]Parameters!BN:BW,10,0),0)</f>
        <v>0</v>
      </c>
      <c r="BX80" s="43">
        <f>SUM(tblSOW8[[#This Row],[Jan 2023 USD]:[Mar 2023 USD]])</f>
        <v>0</v>
      </c>
      <c r="BY80" s="43">
        <f>SUM(tblSOW8[[#This Row],[Apr 2023 USD]:[Jun 2023 USD]])</f>
        <v>0</v>
      </c>
      <c r="BZ80" s="43">
        <f>SUM(tblSOW8[[#This Row],[Jul 2023 USD]:[Sep 2023 USD]])</f>
        <v>0</v>
      </c>
      <c r="CA80" s="43">
        <f>SUM(tblSOW8[[#This Row],[Oct 2023 USD]:[Dec 2023 USD]])</f>
        <v>0</v>
      </c>
    </row>
    <row r="81" spans="1:79" s="36" customFormat="1">
      <c r="A81" s="5"/>
      <c r="B81" s="5"/>
      <c r="C81" s="5"/>
      <c r="D81" s="39"/>
      <c r="E81" s="40"/>
      <c r="F81" s="39"/>
      <c r="G81" s="5"/>
      <c r="H81" s="5"/>
      <c r="I81" s="3"/>
      <c r="J81" s="3"/>
      <c r="K81" s="3"/>
      <c r="L81" s="5"/>
      <c r="M81" s="45"/>
      <c r="N81" s="112"/>
      <c r="O81" s="3"/>
      <c r="P81" s="8"/>
      <c r="Q81" s="8"/>
      <c r="R81" s="5"/>
      <c r="S81" s="5"/>
      <c r="T81" s="3"/>
      <c r="U81" s="3"/>
      <c r="V81" s="3"/>
      <c r="W81" s="3"/>
      <c r="X81" s="5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>
        <f t="shared" si="14"/>
        <v>0</v>
      </c>
      <c r="BQ81" s="43">
        <f t="shared" si="14"/>
        <v>0</v>
      </c>
      <c r="BR81" s="43">
        <f t="shared" si="14"/>
        <v>0</v>
      </c>
      <c r="BS81" s="43">
        <f t="shared" si="14"/>
        <v>0</v>
      </c>
      <c r="BT81" s="43">
        <f t="shared" si="14"/>
        <v>0</v>
      </c>
      <c r="BU81" s="43">
        <f>SUM(tblSOW8[[#This Row],[P1]:[P12]])</f>
        <v>0</v>
      </c>
      <c r="BV81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81" s="43">
        <f>IFERROR(VLOOKUP(K81,[30]Parameters!BN:BW,10,0),0)</f>
        <v>0</v>
      </c>
      <c r="BX81" s="43">
        <f>SUM(tblSOW8[[#This Row],[Jan 2023 USD]:[Mar 2023 USD]])</f>
        <v>0</v>
      </c>
      <c r="BY81" s="43">
        <f>SUM(tblSOW8[[#This Row],[Apr 2023 USD]:[Jun 2023 USD]])</f>
        <v>0</v>
      </c>
      <c r="BZ81" s="43">
        <f>SUM(tblSOW8[[#This Row],[Jul 2023 USD]:[Sep 2023 USD]])</f>
        <v>0</v>
      </c>
      <c r="CA81" s="43">
        <f>SUM(tblSOW8[[#This Row],[Oct 2023 USD]:[Dec 2023 USD]])</f>
        <v>0</v>
      </c>
    </row>
    <row r="82" spans="1:79" s="36" customFormat="1">
      <c r="A82" s="5"/>
      <c r="B82" s="5"/>
      <c r="C82" s="5"/>
      <c r="D82" s="39"/>
      <c r="E82" s="40"/>
      <c r="F82" s="39"/>
      <c r="G82" s="5"/>
      <c r="H82" s="5"/>
      <c r="I82" s="3"/>
      <c r="J82" s="3"/>
      <c r="K82" s="3"/>
      <c r="L82" s="5"/>
      <c r="M82" s="45"/>
      <c r="N82" s="112"/>
      <c r="O82" s="3"/>
      <c r="P82" s="8"/>
      <c r="Q82" s="8"/>
      <c r="R82" s="5"/>
      <c r="S82" s="5"/>
      <c r="T82" s="3"/>
      <c r="U82" s="3"/>
      <c r="V82" s="3"/>
      <c r="W82" s="3"/>
      <c r="X82" s="5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>
        <f t="shared" si="14"/>
        <v>0</v>
      </c>
      <c r="BQ82" s="43">
        <f t="shared" si="14"/>
        <v>0</v>
      </c>
      <c r="BR82" s="43">
        <f t="shared" si="14"/>
        <v>0</v>
      </c>
      <c r="BS82" s="43">
        <f t="shared" si="14"/>
        <v>0</v>
      </c>
      <c r="BT82" s="43">
        <f t="shared" si="14"/>
        <v>0</v>
      </c>
      <c r="BU82" s="43">
        <f>SUM(tblSOW8[[#This Row],[P1]:[P12]])</f>
        <v>0</v>
      </c>
      <c r="BV82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82" s="43">
        <f>IFERROR(VLOOKUP(K82,[30]Parameters!BN:BW,10,0),0)</f>
        <v>0</v>
      </c>
      <c r="BX82" s="43">
        <f>SUM(tblSOW8[[#This Row],[Jan 2023 USD]:[Mar 2023 USD]])</f>
        <v>0</v>
      </c>
      <c r="BY82" s="43">
        <f>SUM(tblSOW8[[#This Row],[Apr 2023 USD]:[Jun 2023 USD]])</f>
        <v>0</v>
      </c>
      <c r="BZ82" s="43">
        <f>SUM(tblSOW8[[#This Row],[Jul 2023 USD]:[Sep 2023 USD]])</f>
        <v>0</v>
      </c>
      <c r="CA82" s="43">
        <f>SUM(tblSOW8[[#This Row],[Oct 2023 USD]:[Dec 2023 USD]])</f>
        <v>0</v>
      </c>
    </row>
    <row r="83" spans="1:79" s="36" customFormat="1">
      <c r="A83" s="5"/>
      <c r="B83" s="5"/>
      <c r="C83" s="5"/>
      <c r="D83" s="39"/>
      <c r="E83" s="40"/>
      <c r="F83" s="39"/>
      <c r="G83" s="5"/>
      <c r="H83" s="5"/>
      <c r="I83" s="3"/>
      <c r="J83" s="3"/>
      <c r="K83" s="3"/>
      <c r="L83" s="5"/>
      <c r="M83" s="45"/>
      <c r="N83" s="112"/>
      <c r="O83" s="3"/>
      <c r="P83" s="8"/>
      <c r="Q83" s="8"/>
      <c r="R83" s="5"/>
      <c r="S83" s="5"/>
      <c r="T83" s="3"/>
      <c r="U83" s="3"/>
      <c r="V83" s="3"/>
      <c r="W83" s="3"/>
      <c r="X83" s="5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>
        <f t="shared" si="14"/>
        <v>0</v>
      </c>
      <c r="BQ83" s="43">
        <f t="shared" si="14"/>
        <v>0</v>
      </c>
      <c r="BR83" s="43">
        <f t="shared" si="14"/>
        <v>0</v>
      </c>
      <c r="BS83" s="43">
        <f t="shared" si="14"/>
        <v>0</v>
      </c>
      <c r="BT83" s="43">
        <f t="shared" si="14"/>
        <v>0</v>
      </c>
      <c r="BU83" s="43">
        <f>SUM(tblSOW8[[#This Row],[P1]:[P12]])</f>
        <v>0</v>
      </c>
      <c r="BV83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83" s="43">
        <f>IFERROR(VLOOKUP(K83,[30]Parameters!BN:BW,10,0),0)</f>
        <v>0</v>
      </c>
      <c r="BX83" s="43">
        <f>SUM(tblSOW8[[#This Row],[Jan 2023 USD]:[Mar 2023 USD]])</f>
        <v>0</v>
      </c>
      <c r="BY83" s="43">
        <f>SUM(tblSOW8[[#This Row],[Apr 2023 USD]:[Jun 2023 USD]])</f>
        <v>0</v>
      </c>
      <c r="BZ83" s="43">
        <f>SUM(tblSOW8[[#This Row],[Jul 2023 USD]:[Sep 2023 USD]])</f>
        <v>0</v>
      </c>
      <c r="CA83" s="43">
        <f>SUM(tblSOW8[[#This Row],[Oct 2023 USD]:[Dec 2023 USD]])</f>
        <v>0</v>
      </c>
    </row>
    <row r="84" spans="1:79" s="36" customFormat="1">
      <c r="A84" s="5"/>
      <c r="B84" s="5"/>
      <c r="C84" s="5"/>
      <c r="D84" s="39"/>
      <c r="E84" s="40"/>
      <c r="F84" s="39"/>
      <c r="G84" s="5"/>
      <c r="H84" s="5"/>
      <c r="I84" s="3"/>
      <c r="J84" s="3"/>
      <c r="K84" s="3"/>
      <c r="L84" s="5"/>
      <c r="M84" s="45"/>
      <c r="N84" s="112"/>
      <c r="O84" s="3"/>
      <c r="P84" s="8"/>
      <c r="Q84" s="8"/>
      <c r="R84" s="5"/>
      <c r="S84" s="5"/>
      <c r="T84" s="3"/>
      <c r="U84" s="3"/>
      <c r="V84" s="3"/>
      <c r="W84" s="3"/>
      <c r="X84" s="5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>
        <f t="shared" si="14"/>
        <v>0</v>
      </c>
      <c r="BQ84" s="43">
        <f t="shared" si="14"/>
        <v>0</v>
      </c>
      <c r="BR84" s="43">
        <f t="shared" si="14"/>
        <v>0</v>
      </c>
      <c r="BS84" s="43">
        <f t="shared" si="14"/>
        <v>0</v>
      </c>
      <c r="BT84" s="43">
        <f t="shared" si="14"/>
        <v>0</v>
      </c>
      <c r="BU84" s="43">
        <f>SUM(tblSOW8[[#This Row],[P1]:[P12]])</f>
        <v>0</v>
      </c>
      <c r="BV84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84" s="43">
        <f>IFERROR(VLOOKUP(K84,[30]Parameters!BN:BW,10,0),0)</f>
        <v>0</v>
      </c>
      <c r="BX84" s="43">
        <f>SUM(tblSOW8[[#This Row],[Jan 2023 USD]:[Mar 2023 USD]])</f>
        <v>0</v>
      </c>
      <c r="BY84" s="43">
        <f>SUM(tblSOW8[[#This Row],[Apr 2023 USD]:[Jun 2023 USD]])</f>
        <v>0</v>
      </c>
      <c r="BZ84" s="43">
        <f>SUM(tblSOW8[[#This Row],[Jul 2023 USD]:[Sep 2023 USD]])</f>
        <v>0</v>
      </c>
      <c r="CA84" s="43">
        <f>SUM(tblSOW8[[#This Row],[Oct 2023 USD]:[Dec 2023 USD]])</f>
        <v>0</v>
      </c>
    </row>
    <row r="85" spans="1:79" s="36" customFormat="1">
      <c r="A85" s="5"/>
      <c r="B85" s="5"/>
      <c r="C85" s="5"/>
      <c r="D85" s="39"/>
      <c r="E85" s="40"/>
      <c r="F85" s="39"/>
      <c r="G85" s="5"/>
      <c r="H85" s="5"/>
      <c r="I85" s="3"/>
      <c r="J85" s="3"/>
      <c r="K85" s="3"/>
      <c r="L85" s="5"/>
      <c r="M85" s="47"/>
      <c r="N85" s="112"/>
      <c r="O85" s="3"/>
      <c r="P85" s="8"/>
      <c r="Q85" s="8"/>
      <c r="R85" s="5"/>
      <c r="S85" s="5"/>
      <c r="T85" s="3"/>
      <c r="U85" s="3"/>
      <c r="V85" s="3"/>
      <c r="W85" s="3"/>
      <c r="X85" s="5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>
        <f t="shared" si="14"/>
        <v>0</v>
      </c>
      <c r="BQ85" s="43">
        <f t="shared" si="14"/>
        <v>0</v>
      </c>
      <c r="BR85" s="43">
        <f t="shared" si="14"/>
        <v>0</v>
      </c>
      <c r="BS85" s="43">
        <f t="shared" si="14"/>
        <v>0</v>
      </c>
      <c r="BT85" s="43">
        <f t="shared" si="14"/>
        <v>0</v>
      </c>
      <c r="BU85" s="43">
        <f>SUM(tblSOW8[[#This Row],[P1]:[P12]])</f>
        <v>0</v>
      </c>
      <c r="BV85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85" s="43">
        <f>IFERROR(VLOOKUP(K85,[30]Parameters!BN:BW,10,0),0)</f>
        <v>0</v>
      </c>
      <c r="BX85" s="43">
        <f>SUM(tblSOW8[[#This Row],[Jan 2023 USD]:[Mar 2023 USD]])</f>
        <v>0</v>
      </c>
      <c r="BY85" s="43">
        <f>SUM(tblSOW8[[#This Row],[Apr 2023 USD]:[Jun 2023 USD]])</f>
        <v>0</v>
      </c>
      <c r="BZ85" s="43">
        <f>SUM(tblSOW8[[#This Row],[Jul 2023 USD]:[Sep 2023 USD]])</f>
        <v>0</v>
      </c>
      <c r="CA85" s="43">
        <f>SUM(tblSOW8[[#This Row],[Oct 2023 USD]:[Dec 2023 USD]])</f>
        <v>0</v>
      </c>
    </row>
    <row r="86" spans="1:79" s="36" customFormat="1">
      <c r="A86" s="5"/>
      <c r="B86" s="5"/>
      <c r="C86" s="5"/>
      <c r="D86" s="39"/>
      <c r="E86" s="40"/>
      <c r="F86" s="39"/>
      <c r="G86" s="5"/>
      <c r="H86" s="5"/>
      <c r="I86" s="3"/>
      <c r="J86" s="3"/>
      <c r="K86" s="3"/>
      <c r="L86" s="5"/>
      <c r="M86" s="47"/>
      <c r="N86" s="112"/>
      <c r="O86" s="3"/>
      <c r="P86" s="8"/>
      <c r="Q86" s="8"/>
      <c r="R86" s="5"/>
      <c r="S86" s="5"/>
      <c r="T86" s="3"/>
      <c r="U86" s="3"/>
      <c r="V86" s="3"/>
      <c r="W86" s="3"/>
      <c r="X86" s="5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>
        <f t="shared" si="14"/>
        <v>0</v>
      </c>
      <c r="BQ86" s="43">
        <f t="shared" si="14"/>
        <v>0</v>
      </c>
      <c r="BR86" s="43">
        <f t="shared" si="14"/>
        <v>0</v>
      </c>
      <c r="BS86" s="43">
        <f t="shared" si="14"/>
        <v>0</v>
      </c>
      <c r="BT86" s="43">
        <f t="shared" si="14"/>
        <v>0</v>
      </c>
      <c r="BU86" s="43">
        <f>SUM(tblSOW8[[#This Row],[P1]:[P12]])</f>
        <v>0</v>
      </c>
      <c r="BV86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86" s="43">
        <f>IFERROR(VLOOKUP(K86,[30]Parameters!BN:BW,10,0),0)</f>
        <v>0</v>
      </c>
      <c r="BX86" s="43">
        <f>SUM(tblSOW8[[#This Row],[Jan 2023 USD]:[Mar 2023 USD]])</f>
        <v>0</v>
      </c>
      <c r="BY86" s="43">
        <f>SUM(tblSOW8[[#This Row],[Apr 2023 USD]:[Jun 2023 USD]])</f>
        <v>0</v>
      </c>
      <c r="BZ86" s="43">
        <f>SUM(tblSOW8[[#This Row],[Jul 2023 USD]:[Sep 2023 USD]])</f>
        <v>0</v>
      </c>
      <c r="CA86" s="43">
        <f>SUM(tblSOW8[[#This Row],[Oct 2023 USD]:[Dec 2023 USD]])</f>
        <v>0</v>
      </c>
    </row>
    <row r="87" spans="1:79" s="36" customFormat="1">
      <c r="A87" s="5"/>
      <c r="B87" s="5"/>
      <c r="C87" s="5"/>
      <c r="D87" s="39"/>
      <c r="E87" s="40"/>
      <c r="F87" s="39"/>
      <c r="G87" s="5"/>
      <c r="H87" s="5"/>
      <c r="I87" s="3"/>
      <c r="J87" s="3"/>
      <c r="K87" s="3"/>
      <c r="L87" s="5"/>
      <c r="M87" s="47"/>
      <c r="N87" s="112"/>
      <c r="O87" s="3"/>
      <c r="P87" s="8"/>
      <c r="Q87" s="8"/>
      <c r="R87" s="5"/>
      <c r="S87" s="5"/>
      <c r="T87" s="3"/>
      <c r="U87" s="3"/>
      <c r="V87" s="3"/>
      <c r="W87" s="3"/>
      <c r="X87" s="5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>
        <f t="shared" si="14"/>
        <v>0</v>
      </c>
      <c r="BQ87" s="43">
        <f t="shared" si="14"/>
        <v>0</v>
      </c>
      <c r="BR87" s="43">
        <f t="shared" si="14"/>
        <v>0</v>
      </c>
      <c r="BS87" s="43">
        <f t="shared" si="14"/>
        <v>0</v>
      </c>
      <c r="BT87" s="43">
        <f t="shared" si="14"/>
        <v>0</v>
      </c>
      <c r="BU87" s="43">
        <f>SUM(tblSOW8[[#This Row],[P1]:[P12]])</f>
        <v>0</v>
      </c>
      <c r="BV87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87" s="43">
        <f>IFERROR(VLOOKUP(K87,[30]Parameters!BN:BW,10,0),0)</f>
        <v>0</v>
      </c>
      <c r="BX87" s="43">
        <f>SUM(tblSOW8[[#This Row],[Jan 2023 USD]:[Mar 2023 USD]])</f>
        <v>0</v>
      </c>
      <c r="BY87" s="43">
        <f>SUM(tblSOW8[[#This Row],[Apr 2023 USD]:[Jun 2023 USD]])</f>
        <v>0</v>
      </c>
      <c r="BZ87" s="43">
        <f>SUM(tblSOW8[[#This Row],[Jul 2023 USD]:[Sep 2023 USD]])</f>
        <v>0</v>
      </c>
      <c r="CA87" s="43">
        <f>SUM(tblSOW8[[#This Row],[Oct 2023 USD]:[Dec 2023 USD]])</f>
        <v>0</v>
      </c>
    </row>
    <row r="88" spans="1:79" s="36" customFormat="1">
      <c r="A88" s="5"/>
      <c r="B88" s="5"/>
      <c r="C88" s="5"/>
      <c r="D88" s="39"/>
      <c r="E88" s="40"/>
      <c r="F88" s="39"/>
      <c r="G88" s="5"/>
      <c r="H88" s="5"/>
      <c r="I88" s="3"/>
      <c r="J88" s="3"/>
      <c r="K88" s="3"/>
      <c r="L88" s="5"/>
      <c r="M88" s="45"/>
      <c r="N88" s="112"/>
      <c r="O88" s="3"/>
      <c r="P88" s="8"/>
      <c r="Q88" s="8"/>
      <c r="R88" s="5"/>
      <c r="S88" s="5"/>
      <c r="T88" s="3"/>
      <c r="U88" s="3"/>
      <c r="V88" s="3"/>
      <c r="W88" s="3"/>
      <c r="X88" s="5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>
        <f t="shared" si="14"/>
        <v>0</v>
      </c>
      <c r="BQ88" s="43">
        <f t="shared" si="14"/>
        <v>0</v>
      </c>
      <c r="BR88" s="43">
        <f t="shared" si="14"/>
        <v>0</v>
      </c>
      <c r="BS88" s="43">
        <f t="shared" si="14"/>
        <v>0</v>
      </c>
      <c r="BT88" s="43">
        <f t="shared" si="14"/>
        <v>0</v>
      </c>
      <c r="BU88" s="43">
        <f>SUM(tblSOW8[[#This Row],[P1]:[P12]])</f>
        <v>0</v>
      </c>
      <c r="BV88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88" s="43">
        <f>IFERROR(VLOOKUP(K88,[30]Parameters!BN:BW,10,0),0)</f>
        <v>0</v>
      </c>
      <c r="BX88" s="43">
        <f>SUM(tblSOW8[[#This Row],[Jan 2023 USD]:[Mar 2023 USD]])</f>
        <v>0</v>
      </c>
      <c r="BY88" s="43">
        <f>SUM(tblSOW8[[#This Row],[Apr 2023 USD]:[Jun 2023 USD]])</f>
        <v>0</v>
      </c>
      <c r="BZ88" s="43">
        <f>SUM(tblSOW8[[#This Row],[Jul 2023 USD]:[Sep 2023 USD]])</f>
        <v>0</v>
      </c>
      <c r="CA88" s="43">
        <f>SUM(tblSOW8[[#This Row],[Oct 2023 USD]:[Dec 2023 USD]])</f>
        <v>0</v>
      </c>
    </row>
    <row r="89" spans="1:79" s="36" customFormat="1">
      <c r="A89" s="5"/>
      <c r="B89" s="5"/>
      <c r="C89" s="5"/>
      <c r="D89" s="39"/>
      <c r="E89" s="40"/>
      <c r="F89" s="39"/>
      <c r="G89" s="5"/>
      <c r="H89" s="5"/>
      <c r="I89" s="3"/>
      <c r="J89" s="3"/>
      <c r="K89" s="3"/>
      <c r="L89" s="85"/>
      <c r="M89" s="45"/>
      <c r="N89" s="112"/>
      <c r="O89" s="3"/>
      <c r="P89" s="8"/>
      <c r="Q89" s="8"/>
      <c r="R89" s="5"/>
      <c r="S89" s="5"/>
      <c r="T89" s="3"/>
      <c r="U89" s="3"/>
      <c r="V89" s="3"/>
      <c r="W89" s="3"/>
      <c r="X89" s="5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>
        <f t="shared" si="14"/>
        <v>0</v>
      </c>
      <c r="BQ89" s="43">
        <f t="shared" si="14"/>
        <v>0</v>
      </c>
      <c r="BR89" s="43">
        <f t="shared" si="14"/>
        <v>0</v>
      </c>
      <c r="BS89" s="43">
        <f t="shared" si="14"/>
        <v>0</v>
      </c>
      <c r="BT89" s="43">
        <f t="shared" si="14"/>
        <v>0</v>
      </c>
      <c r="BU89" s="43">
        <f>SUM(tblSOW8[[#This Row],[P1]:[P12]])</f>
        <v>0</v>
      </c>
      <c r="BV89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89" s="43">
        <f>IFERROR(VLOOKUP(K89,[30]Parameters!BN:BW,10,0),0)</f>
        <v>0</v>
      </c>
      <c r="BX89" s="43">
        <f>SUM(tblSOW8[[#This Row],[Jan 2023 USD]:[Mar 2023 USD]])</f>
        <v>0</v>
      </c>
      <c r="BY89" s="43">
        <f>SUM(tblSOW8[[#This Row],[Apr 2023 USD]:[Jun 2023 USD]])</f>
        <v>0</v>
      </c>
      <c r="BZ89" s="43">
        <f>SUM(tblSOW8[[#This Row],[Jul 2023 USD]:[Sep 2023 USD]])</f>
        <v>0</v>
      </c>
      <c r="CA89" s="43">
        <f>SUM(tblSOW8[[#This Row],[Oct 2023 USD]:[Dec 2023 USD]])</f>
        <v>0</v>
      </c>
    </row>
    <row r="90" spans="1:79" s="36" customFormat="1">
      <c r="A90" s="5"/>
      <c r="B90" s="5"/>
      <c r="C90" s="5"/>
      <c r="D90" s="39"/>
      <c r="E90" s="40"/>
      <c r="F90" s="39"/>
      <c r="G90" s="5"/>
      <c r="H90" s="5"/>
      <c r="I90" s="3"/>
      <c r="J90" s="3"/>
      <c r="K90" s="3"/>
      <c r="L90" s="85"/>
      <c r="M90" s="45"/>
      <c r="N90" s="112"/>
      <c r="O90" s="3"/>
      <c r="P90" s="8"/>
      <c r="Q90" s="8"/>
      <c r="R90" s="5"/>
      <c r="S90" s="5"/>
      <c r="T90" s="3"/>
      <c r="U90" s="3"/>
      <c r="V90" s="3"/>
      <c r="W90" s="3"/>
      <c r="X90" s="5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>
        <f t="shared" si="14"/>
        <v>0</v>
      </c>
      <c r="BQ90" s="43">
        <f t="shared" si="14"/>
        <v>0</v>
      </c>
      <c r="BR90" s="43">
        <f t="shared" si="14"/>
        <v>0</v>
      </c>
      <c r="BS90" s="43">
        <f t="shared" si="14"/>
        <v>0</v>
      </c>
      <c r="BT90" s="43">
        <f t="shared" si="14"/>
        <v>0</v>
      </c>
      <c r="BU90" s="43">
        <f>SUM(tblSOW8[[#This Row],[P1]:[P12]])</f>
        <v>0</v>
      </c>
      <c r="BV90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90" s="43">
        <f>IFERROR(VLOOKUP(K90,[30]Parameters!BN:BW,10,0),0)</f>
        <v>0</v>
      </c>
      <c r="BX90" s="43">
        <f>SUM(tblSOW8[[#This Row],[Jan 2023 USD]:[Mar 2023 USD]])</f>
        <v>0</v>
      </c>
      <c r="BY90" s="43">
        <f>SUM(tblSOW8[[#This Row],[Apr 2023 USD]:[Jun 2023 USD]])</f>
        <v>0</v>
      </c>
      <c r="BZ90" s="43">
        <f>SUM(tblSOW8[[#This Row],[Jul 2023 USD]:[Sep 2023 USD]])</f>
        <v>0</v>
      </c>
      <c r="CA90" s="43">
        <f>SUM(tblSOW8[[#This Row],[Oct 2023 USD]:[Dec 2023 USD]])</f>
        <v>0</v>
      </c>
    </row>
    <row r="91" spans="1:79" s="36" customFormat="1">
      <c r="A91" s="5"/>
      <c r="B91" s="5"/>
      <c r="C91" s="5"/>
      <c r="D91" s="39"/>
      <c r="E91" s="40"/>
      <c r="F91" s="39"/>
      <c r="G91" s="5"/>
      <c r="H91" s="5"/>
      <c r="I91" s="3"/>
      <c r="J91" s="3"/>
      <c r="K91" s="3"/>
      <c r="L91" s="85"/>
      <c r="M91" s="45"/>
      <c r="N91" s="112"/>
      <c r="O91" s="3"/>
      <c r="P91" s="8"/>
      <c r="Q91" s="8"/>
      <c r="R91" s="5"/>
      <c r="S91" s="5"/>
      <c r="T91" s="3"/>
      <c r="U91" s="3"/>
      <c r="V91" s="3"/>
      <c r="W91" s="3"/>
      <c r="X91" s="5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>
        <f t="shared" si="14"/>
        <v>0</v>
      </c>
      <c r="BQ91" s="43">
        <f t="shared" si="14"/>
        <v>0</v>
      </c>
      <c r="BR91" s="43">
        <f t="shared" si="14"/>
        <v>0</v>
      </c>
      <c r="BS91" s="43">
        <f t="shared" si="14"/>
        <v>0</v>
      </c>
      <c r="BT91" s="43">
        <f t="shared" si="14"/>
        <v>0</v>
      </c>
      <c r="BU91" s="43">
        <f>SUM(tblSOW8[[#This Row],[P1]:[P12]])</f>
        <v>0</v>
      </c>
      <c r="BV91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91" s="43">
        <f>IFERROR(VLOOKUP(K91,[30]Parameters!BN:BW,10,0),0)</f>
        <v>0</v>
      </c>
      <c r="BX91" s="43">
        <f>SUM(tblSOW8[[#This Row],[Jan 2023 USD]:[Mar 2023 USD]])</f>
        <v>0</v>
      </c>
      <c r="BY91" s="43">
        <f>SUM(tblSOW8[[#This Row],[Apr 2023 USD]:[Jun 2023 USD]])</f>
        <v>0</v>
      </c>
      <c r="BZ91" s="43">
        <f>SUM(tblSOW8[[#This Row],[Jul 2023 USD]:[Sep 2023 USD]])</f>
        <v>0</v>
      </c>
      <c r="CA91" s="43">
        <f>SUM(tblSOW8[[#This Row],[Oct 2023 USD]:[Dec 2023 USD]])</f>
        <v>0</v>
      </c>
    </row>
    <row r="92" spans="1:79" s="36" customFormat="1">
      <c r="A92" s="5"/>
      <c r="B92" s="5"/>
      <c r="C92" s="5"/>
      <c r="D92" s="39"/>
      <c r="E92" s="40"/>
      <c r="F92" s="39"/>
      <c r="G92" s="5"/>
      <c r="H92" s="5"/>
      <c r="I92" s="3"/>
      <c r="J92" s="3"/>
      <c r="K92" s="3"/>
      <c r="L92" s="85"/>
      <c r="M92" s="45"/>
      <c r="N92" s="112"/>
      <c r="O92" s="3"/>
      <c r="P92" s="8"/>
      <c r="Q92" s="8"/>
      <c r="R92" s="5"/>
      <c r="S92" s="5"/>
      <c r="T92" s="3"/>
      <c r="U92" s="3"/>
      <c r="V92" s="3"/>
      <c r="W92" s="3"/>
      <c r="X92" s="5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>
        <f t="shared" si="14"/>
        <v>0</v>
      </c>
      <c r="BQ92" s="43">
        <f t="shared" si="14"/>
        <v>0</v>
      </c>
      <c r="BR92" s="43">
        <f t="shared" si="14"/>
        <v>0</v>
      </c>
      <c r="BS92" s="43">
        <f t="shared" si="14"/>
        <v>0</v>
      </c>
      <c r="BT92" s="43">
        <f t="shared" si="14"/>
        <v>0</v>
      </c>
      <c r="BU92" s="43">
        <f>SUM(tblSOW8[[#This Row],[P1]:[P12]])</f>
        <v>0</v>
      </c>
      <c r="BV92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92" s="43">
        <f>IFERROR(VLOOKUP(K92,[30]Parameters!BN:BW,10,0),0)</f>
        <v>0</v>
      </c>
      <c r="BX92" s="43">
        <f>SUM(tblSOW8[[#This Row],[Jan 2023 USD]:[Mar 2023 USD]])</f>
        <v>0</v>
      </c>
      <c r="BY92" s="43">
        <f>SUM(tblSOW8[[#This Row],[Apr 2023 USD]:[Jun 2023 USD]])</f>
        <v>0</v>
      </c>
      <c r="BZ92" s="43">
        <f>SUM(tblSOW8[[#This Row],[Jul 2023 USD]:[Sep 2023 USD]])</f>
        <v>0</v>
      </c>
      <c r="CA92" s="43">
        <f>SUM(tblSOW8[[#This Row],[Oct 2023 USD]:[Dec 2023 USD]])</f>
        <v>0</v>
      </c>
    </row>
    <row r="93" spans="1:79" s="36" customFormat="1">
      <c r="A93" s="5"/>
      <c r="B93" s="5"/>
      <c r="C93" s="5"/>
      <c r="D93" s="39"/>
      <c r="E93" s="40"/>
      <c r="F93" s="39"/>
      <c r="G93" s="5"/>
      <c r="H93" s="5"/>
      <c r="I93" s="3"/>
      <c r="J93" s="3"/>
      <c r="K93" s="3"/>
      <c r="L93" s="85"/>
      <c r="M93" s="45"/>
      <c r="N93" s="112"/>
      <c r="O93" s="3"/>
      <c r="P93" s="8"/>
      <c r="Q93" s="8"/>
      <c r="R93" s="5"/>
      <c r="S93" s="5"/>
      <c r="T93" s="3"/>
      <c r="U93" s="3"/>
      <c r="V93" s="3"/>
      <c r="W93" s="3"/>
      <c r="X93" s="5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>
        <f t="shared" si="14"/>
        <v>0</v>
      </c>
      <c r="BQ93" s="43">
        <f t="shared" si="14"/>
        <v>0</v>
      </c>
      <c r="BR93" s="43">
        <f t="shared" si="14"/>
        <v>0</v>
      </c>
      <c r="BS93" s="43">
        <f t="shared" si="14"/>
        <v>0</v>
      </c>
      <c r="BT93" s="43">
        <f t="shared" si="14"/>
        <v>0</v>
      </c>
      <c r="BU93" s="43">
        <f>SUM(tblSOW8[[#This Row],[P1]:[P12]])</f>
        <v>0</v>
      </c>
      <c r="BV93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93" s="43">
        <f>IFERROR(VLOOKUP(K93,[30]Parameters!BN:BW,10,0),0)</f>
        <v>0</v>
      </c>
      <c r="BX93" s="43">
        <f>SUM(tblSOW8[[#This Row],[Jan 2023 USD]:[Mar 2023 USD]])</f>
        <v>0</v>
      </c>
      <c r="BY93" s="43">
        <f>SUM(tblSOW8[[#This Row],[Apr 2023 USD]:[Jun 2023 USD]])</f>
        <v>0</v>
      </c>
      <c r="BZ93" s="43">
        <f>SUM(tblSOW8[[#This Row],[Jul 2023 USD]:[Sep 2023 USD]])</f>
        <v>0</v>
      </c>
      <c r="CA93" s="43">
        <f>SUM(tblSOW8[[#This Row],[Oct 2023 USD]:[Dec 2023 USD]])</f>
        <v>0</v>
      </c>
    </row>
    <row r="94" spans="1:79" s="36" customFormat="1">
      <c r="A94" s="5"/>
      <c r="B94" s="5"/>
      <c r="C94" s="5"/>
      <c r="D94" s="39"/>
      <c r="E94" s="40"/>
      <c r="F94" s="39"/>
      <c r="G94" s="5"/>
      <c r="H94" s="5"/>
      <c r="I94" s="3"/>
      <c r="J94" s="3"/>
      <c r="K94" s="3"/>
      <c r="L94" s="85"/>
      <c r="M94" s="45"/>
      <c r="N94" s="112"/>
      <c r="O94" s="3"/>
      <c r="P94" s="8"/>
      <c r="Q94" s="8"/>
      <c r="R94" s="5"/>
      <c r="S94" s="5"/>
      <c r="T94" s="3"/>
      <c r="U94" s="3"/>
      <c r="V94" s="3"/>
      <c r="W94" s="3"/>
      <c r="X94" s="5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>
        <f t="shared" si="14"/>
        <v>0</v>
      </c>
      <c r="BQ94" s="43">
        <f t="shared" si="14"/>
        <v>0</v>
      </c>
      <c r="BR94" s="43">
        <f t="shared" si="14"/>
        <v>0</v>
      </c>
      <c r="BS94" s="43">
        <f t="shared" si="14"/>
        <v>0</v>
      </c>
      <c r="BT94" s="43">
        <f t="shared" si="14"/>
        <v>0</v>
      </c>
      <c r="BU94" s="43">
        <f>SUM(tblSOW8[[#This Row],[P1]:[P12]])</f>
        <v>0</v>
      </c>
      <c r="BV94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94" s="43">
        <f>IFERROR(VLOOKUP(K94,[30]Parameters!BN:BW,10,0),0)</f>
        <v>0</v>
      </c>
      <c r="BX94" s="43">
        <f>SUM(tblSOW8[[#This Row],[Jan 2023 USD]:[Mar 2023 USD]])</f>
        <v>0</v>
      </c>
      <c r="BY94" s="43">
        <f>SUM(tblSOW8[[#This Row],[Apr 2023 USD]:[Jun 2023 USD]])</f>
        <v>0</v>
      </c>
      <c r="BZ94" s="43">
        <f>SUM(tblSOW8[[#This Row],[Jul 2023 USD]:[Sep 2023 USD]])</f>
        <v>0</v>
      </c>
      <c r="CA94" s="43">
        <f>SUM(tblSOW8[[#This Row],[Oct 2023 USD]:[Dec 2023 USD]])</f>
        <v>0</v>
      </c>
    </row>
    <row r="95" spans="1:79" s="36" customFormat="1">
      <c r="A95" s="5"/>
      <c r="B95" s="5"/>
      <c r="C95" s="5"/>
      <c r="D95" s="39"/>
      <c r="E95" s="40"/>
      <c r="F95" s="39"/>
      <c r="G95" s="5"/>
      <c r="H95" s="5"/>
      <c r="I95" s="3"/>
      <c r="J95" s="3"/>
      <c r="K95" s="3"/>
      <c r="L95" s="85"/>
      <c r="M95" s="45"/>
      <c r="N95" s="112"/>
      <c r="O95" s="3"/>
      <c r="P95" s="8"/>
      <c r="Q95" s="8"/>
      <c r="R95" s="5"/>
      <c r="S95" s="5"/>
      <c r="T95" s="3"/>
      <c r="U95" s="3"/>
      <c r="V95" s="3"/>
      <c r="W95" s="3"/>
      <c r="X95" s="5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>
        <f t="shared" si="14"/>
        <v>0</v>
      </c>
      <c r="BQ95" s="43">
        <f t="shared" si="14"/>
        <v>0</v>
      </c>
      <c r="BR95" s="43">
        <f t="shared" si="14"/>
        <v>0</v>
      </c>
      <c r="BS95" s="43">
        <f t="shared" si="14"/>
        <v>0</v>
      </c>
      <c r="BT95" s="43">
        <f t="shared" si="14"/>
        <v>0</v>
      </c>
      <c r="BU95" s="43">
        <f>SUM(tblSOW8[[#This Row],[P1]:[P12]])</f>
        <v>0</v>
      </c>
      <c r="BV95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95" s="43">
        <f>IFERROR(VLOOKUP(K95,[30]Parameters!BN:BW,10,0),0)</f>
        <v>0</v>
      </c>
      <c r="BX95" s="43">
        <f>SUM(tblSOW8[[#This Row],[Jan 2023 USD]:[Mar 2023 USD]])</f>
        <v>0</v>
      </c>
      <c r="BY95" s="43">
        <f>SUM(tblSOW8[[#This Row],[Apr 2023 USD]:[Jun 2023 USD]])</f>
        <v>0</v>
      </c>
      <c r="BZ95" s="43">
        <f>SUM(tblSOW8[[#This Row],[Jul 2023 USD]:[Sep 2023 USD]])</f>
        <v>0</v>
      </c>
      <c r="CA95" s="43">
        <f>SUM(tblSOW8[[#This Row],[Oct 2023 USD]:[Dec 2023 USD]])</f>
        <v>0</v>
      </c>
    </row>
    <row r="96" spans="1:79" s="36" customFormat="1">
      <c r="A96" s="5"/>
      <c r="B96" s="5"/>
      <c r="C96" s="5"/>
      <c r="D96" s="39"/>
      <c r="E96" s="40"/>
      <c r="F96" s="39"/>
      <c r="G96" s="5"/>
      <c r="H96" s="5"/>
      <c r="I96" s="3"/>
      <c r="J96" s="3"/>
      <c r="K96" s="3"/>
      <c r="L96" s="85"/>
      <c r="M96" s="45"/>
      <c r="N96" s="112"/>
      <c r="O96" s="3"/>
      <c r="P96" s="8"/>
      <c r="Q96" s="8"/>
      <c r="R96" s="5"/>
      <c r="S96" s="5"/>
      <c r="T96" s="3"/>
      <c r="U96" s="3"/>
      <c r="V96" s="3"/>
      <c r="W96" s="3"/>
      <c r="X96" s="5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>
        <f t="shared" si="14"/>
        <v>0</v>
      </c>
      <c r="BQ96" s="43">
        <f t="shared" si="14"/>
        <v>0</v>
      </c>
      <c r="BR96" s="43">
        <f t="shared" si="14"/>
        <v>0</v>
      </c>
      <c r="BS96" s="43">
        <f t="shared" si="14"/>
        <v>0</v>
      </c>
      <c r="BT96" s="43">
        <f t="shared" si="14"/>
        <v>0</v>
      </c>
      <c r="BU96" s="43">
        <f>SUM(tblSOW8[[#This Row],[P1]:[P12]])</f>
        <v>0</v>
      </c>
      <c r="BV96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96" s="43">
        <f>IFERROR(VLOOKUP(K96,[30]Parameters!BN:BW,10,0),0)</f>
        <v>0</v>
      </c>
      <c r="BX96" s="43">
        <f>SUM(tblSOW8[[#This Row],[Jan 2023 USD]:[Mar 2023 USD]])</f>
        <v>0</v>
      </c>
      <c r="BY96" s="43">
        <f>SUM(tblSOW8[[#This Row],[Apr 2023 USD]:[Jun 2023 USD]])</f>
        <v>0</v>
      </c>
      <c r="BZ96" s="43">
        <f>SUM(tblSOW8[[#This Row],[Jul 2023 USD]:[Sep 2023 USD]])</f>
        <v>0</v>
      </c>
      <c r="CA96" s="43">
        <f>SUM(tblSOW8[[#This Row],[Oct 2023 USD]:[Dec 2023 USD]])</f>
        <v>0</v>
      </c>
    </row>
    <row r="97" spans="1:79" s="36" customFormat="1">
      <c r="A97" s="5"/>
      <c r="B97" s="5"/>
      <c r="C97" s="5"/>
      <c r="D97" s="39"/>
      <c r="E97" s="40"/>
      <c r="F97" s="39"/>
      <c r="G97" s="5"/>
      <c r="H97" s="5"/>
      <c r="I97" s="3"/>
      <c r="J97" s="3"/>
      <c r="K97" s="3"/>
      <c r="L97" s="85"/>
      <c r="M97" s="45"/>
      <c r="N97" s="112"/>
      <c r="O97" s="3"/>
      <c r="P97" s="8"/>
      <c r="Q97" s="8"/>
      <c r="R97" s="5"/>
      <c r="S97" s="5"/>
      <c r="T97" s="3"/>
      <c r="U97" s="3"/>
      <c r="V97" s="3"/>
      <c r="W97" s="3"/>
      <c r="X97" s="5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>
        <f t="shared" si="14"/>
        <v>0</v>
      </c>
      <c r="BQ97" s="43">
        <f t="shared" si="14"/>
        <v>0</v>
      </c>
      <c r="BR97" s="43">
        <f t="shared" si="14"/>
        <v>0</v>
      </c>
      <c r="BS97" s="43">
        <f t="shared" si="14"/>
        <v>0</v>
      </c>
      <c r="BT97" s="43">
        <f t="shared" si="14"/>
        <v>0</v>
      </c>
      <c r="BU97" s="43">
        <f>SUM(tblSOW8[[#This Row],[P1]:[P12]])</f>
        <v>0</v>
      </c>
      <c r="BV97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97" s="43">
        <f>IFERROR(VLOOKUP(K97,[30]Parameters!BN:BW,10,0),0)</f>
        <v>0</v>
      </c>
      <c r="BX97" s="43">
        <f>SUM(tblSOW8[[#This Row],[Jan 2023 USD]:[Mar 2023 USD]])</f>
        <v>0</v>
      </c>
      <c r="BY97" s="43">
        <f>SUM(tblSOW8[[#This Row],[Apr 2023 USD]:[Jun 2023 USD]])</f>
        <v>0</v>
      </c>
      <c r="BZ97" s="43">
        <f>SUM(tblSOW8[[#This Row],[Jul 2023 USD]:[Sep 2023 USD]])</f>
        <v>0</v>
      </c>
      <c r="CA97" s="43">
        <f>SUM(tblSOW8[[#This Row],[Oct 2023 USD]:[Dec 2023 USD]])</f>
        <v>0</v>
      </c>
    </row>
    <row r="98" spans="1:79" s="36" customFormat="1">
      <c r="A98" s="5"/>
      <c r="B98" s="5"/>
      <c r="C98" s="5"/>
      <c r="D98" s="39"/>
      <c r="E98" s="40"/>
      <c r="F98" s="39"/>
      <c r="G98" s="5"/>
      <c r="H98" s="5"/>
      <c r="I98" s="3"/>
      <c r="J98" s="3"/>
      <c r="K98" s="3"/>
      <c r="L98" s="85"/>
      <c r="M98" s="45"/>
      <c r="N98" s="112"/>
      <c r="O98" s="3"/>
      <c r="P98" s="8"/>
      <c r="Q98" s="8"/>
      <c r="R98" s="5"/>
      <c r="S98" s="5"/>
      <c r="T98" s="3"/>
      <c r="U98" s="3"/>
      <c r="V98" s="3"/>
      <c r="W98" s="3"/>
      <c r="X98" s="5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>
        <f t="shared" si="14"/>
        <v>0</v>
      </c>
      <c r="BQ98" s="43">
        <f t="shared" si="14"/>
        <v>0</v>
      </c>
      <c r="BR98" s="43">
        <f t="shared" si="14"/>
        <v>0</v>
      </c>
      <c r="BS98" s="43">
        <f t="shared" si="14"/>
        <v>0</v>
      </c>
      <c r="BT98" s="43">
        <f t="shared" si="14"/>
        <v>0</v>
      </c>
      <c r="BU98" s="43">
        <f>SUM(tblSOW8[[#This Row],[P1]:[P12]])</f>
        <v>0</v>
      </c>
      <c r="BV98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98" s="43">
        <f>IFERROR(VLOOKUP(K98,[30]Parameters!BN:BW,10,0),0)</f>
        <v>0</v>
      </c>
      <c r="BX98" s="43">
        <f>SUM(tblSOW8[[#This Row],[Jan 2023 USD]:[Mar 2023 USD]])</f>
        <v>0</v>
      </c>
      <c r="BY98" s="43">
        <f>SUM(tblSOW8[[#This Row],[Apr 2023 USD]:[Jun 2023 USD]])</f>
        <v>0</v>
      </c>
      <c r="BZ98" s="43">
        <f>SUM(tblSOW8[[#This Row],[Jul 2023 USD]:[Sep 2023 USD]])</f>
        <v>0</v>
      </c>
      <c r="CA98" s="43">
        <f>SUM(tblSOW8[[#This Row],[Oct 2023 USD]:[Dec 2023 USD]])</f>
        <v>0</v>
      </c>
    </row>
    <row r="99" spans="1:79" s="36" customFormat="1">
      <c r="A99" s="5"/>
      <c r="B99" s="5"/>
      <c r="C99" s="5"/>
      <c r="D99" s="39"/>
      <c r="E99" s="40"/>
      <c r="F99" s="39"/>
      <c r="G99" s="5"/>
      <c r="H99" s="5"/>
      <c r="I99" s="3"/>
      <c r="J99" s="3"/>
      <c r="K99" s="3"/>
      <c r="L99" s="4"/>
      <c r="M99" s="45"/>
      <c r="N99" s="112"/>
      <c r="O99" s="3"/>
      <c r="P99" s="8"/>
      <c r="Q99" s="8"/>
      <c r="R99" s="5"/>
      <c r="S99" s="5"/>
      <c r="T99" s="3"/>
      <c r="U99" s="3"/>
      <c r="V99" s="3"/>
      <c r="W99" s="3"/>
      <c r="X99" s="5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>
        <f t="shared" si="14"/>
        <v>0</v>
      </c>
      <c r="BQ99" s="43">
        <f t="shared" si="14"/>
        <v>0</v>
      </c>
      <c r="BR99" s="43">
        <f t="shared" si="14"/>
        <v>0</v>
      </c>
      <c r="BS99" s="43">
        <f t="shared" si="14"/>
        <v>0</v>
      </c>
      <c r="BT99" s="43">
        <f t="shared" si="14"/>
        <v>0</v>
      </c>
      <c r="BU99" s="43">
        <f>SUM(tblSOW8[[#This Row],[P1]:[P12]])</f>
        <v>0</v>
      </c>
      <c r="BV99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99" s="43">
        <f>IFERROR(VLOOKUP(K99,[30]Parameters!BN:BW,10,0),0)</f>
        <v>0</v>
      </c>
      <c r="BX99" s="43">
        <f>SUM(tblSOW8[[#This Row],[Jan 2023 USD]:[Mar 2023 USD]])</f>
        <v>0</v>
      </c>
      <c r="BY99" s="43">
        <f>SUM(tblSOW8[[#This Row],[Apr 2023 USD]:[Jun 2023 USD]])</f>
        <v>0</v>
      </c>
      <c r="BZ99" s="43">
        <f>SUM(tblSOW8[[#This Row],[Jul 2023 USD]:[Sep 2023 USD]])</f>
        <v>0</v>
      </c>
      <c r="CA99" s="43">
        <f>SUM(tblSOW8[[#This Row],[Oct 2023 USD]:[Dec 2023 USD]])</f>
        <v>0</v>
      </c>
    </row>
    <row r="100" spans="1:79" s="36" customFormat="1">
      <c r="A100" s="5"/>
      <c r="B100" s="5"/>
      <c r="C100" s="5"/>
      <c r="D100" s="39"/>
      <c r="E100" s="40"/>
      <c r="F100" s="39"/>
      <c r="G100" s="5"/>
      <c r="H100" s="5"/>
      <c r="I100" s="3"/>
      <c r="J100" s="3"/>
      <c r="K100" s="3"/>
      <c r="L100" s="4"/>
      <c r="M100" s="115"/>
      <c r="N100" s="5"/>
      <c r="O100" s="3"/>
      <c r="P100" s="8"/>
      <c r="Q100" s="8"/>
      <c r="R100" s="5"/>
      <c r="S100" s="5"/>
      <c r="T100" s="3"/>
      <c r="U100" s="3"/>
      <c r="V100" s="3"/>
      <c r="W100" s="3"/>
      <c r="X100" s="5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>
        <f t="shared" si="14"/>
        <v>0</v>
      </c>
      <c r="BQ100" s="43">
        <f t="shared" si="14"/>
        <v>0</v>
      </c>
      <c r="BR100" s="43">
        <f t="shared" si="14"/>
        <v>0</v>
      </c>
      <c r="BS100" s="43">
        <f t="shared" si="14"/>
        <v>0</v>
      </c>
      <c r="BT100" s="43">
        <f t="shared" si="14"/>
        <v>0</v>
      </c>
      <c r="BU100" s="43">
        <f>SUM(tblSOW8[[#This Row],[P1]:[P12]])</f>
        <v>0</v>
      </c>
      <c r="BV100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00" s="43">
        <f>IFERROR(VLOOKUP(K100,[30]Parameters!BN:BW,10,0),0)</f>
        <v>0</v>
      </c>
      <c r="BX100" s="43">
        <f>SUM(tblSOW8[[#This Row],[Jan 2023 USD]:[Mar 2023 USD]])</f>
        <v>0</v>
      </c>
      <c r="BY100" s="43">
        <f>SUM(tblSOW8[[#This Row],[Apr 2023 USD]:[Jun 2023 USD]])</f>
        <v>0</v>
      </c>
      <c r="BZ100" s="43">
        <f>SUM(tblSOW8[[#This Row],[Jul 2023 USD]:[Sep 2023 USD]])</f>
        <v>0</v>
      </c>
      <c r="CA100" s="43">
        <f>SUM(tblSOW8[[#This Row],[Oct 2023 USD]:[Dec 2023 USD]])</f>
        <v>0</v>
      </c>
    </row>
    <row r="101" spans="1:79" s="36" customFormat="1">
      <c r="A101" s="5"/>
      <c r="B101" s="5"/>
      <c r="C101" s="5"/>
      <c r="D101" s="39"/>
      <c r="E101" s="40"/>
      <c r="F101" s="39"/>
      <c r="G101" s="5"/>
      <c r="H101" s="5"/>
      <c r="I101" s="3"/>
      <c r="J101" s="3"/>
      <c r="K101" s="3"/>
      <c r="L101" s="4"/>
      <c r="M101" s="115"/>
      <c r="N101" s="5"/>
      <c r="O101" s="3"/>
      <c r="P101" s="8"/>
      <c r="Q101" s="8"/>
      <c r="R101" s="5"/>
      <c r="S101" s="5"/>
      <c r="T101" s="3"/>
      <c r="U101" s="3"/>
      <c r="V101" s="3"/>
      <c r="W101" s="3"/>
      <c r="X101" s="5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>
        <f t="shared" si="14"/>
        <v>0</v>
      </c>
      <c r="BQ101" s="43">
        <f t="shared" si="14"/>
        <v>0</v>
      </c>
      <c r="BR101" s="43">
        <f t="shared" si="14"/>
        <v>0</v>
      </c>
      <c r="BS101" s="43">
        <f t="shared" si="14"/>
        <v>0</v>
      </c>
      <c r="BT101" s="43">
        <f t="shared" si="14"/>
        <v>0</v>
      </c>
      <c r="BU101" s="43">
        <f>SUM(tblSOW8[[#This Row],[P1]:[P12]])</f>
        <v>0</v>
      </c>
      <c r="BV101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01" s="43">
        <f>IFERROR(VLOOKUP(K101,[30]Parameters!BN:BW,10,0),0)</f>
        <v>0</v>
      </c>
      <c r="BX101" s="43">
        <f>SUM(tblSOW8[[#This Row],[Jan 2023 USD]:[Mar 2023 USD]])</f>
        <v>0</v>
      </c>
      <c r="BY101" s="43">
        <f>SUM(tblSOW8[[#This Row],[Apr 2023 USD]:[Jun 2023 USD]])</f>
        <v>0</v>
      </c>
      <c r="BZ101" s="43">
        <f>SUM(tblSOW8[[#This Row],[Jul 2023 USD]:[Sep 2023 USD]])</f>
        <v>0</v>
      </c>
      <c r="CA101" s="43">
        <f>SUM(tblSOW8[[#This Row],[Oct 2023 USD]:[Dec 2023 USD]])</f>
        <v>0</v>
      </c>
    </row>
    <row r="102" spans="1:79" s="36" customFormat="1">
      <c r="A102" s="5"/>
      <c r="B102" s="5"/>
      <c r="C102" s="5"/>
      <c r="D102" s="39"/>
      <c r="E102" s="40"/>
      <c r="F102" s="39"/>
      <c r="G102" s="5"/>
      <c r="H102" s="5"/>
      <c r="I102" s="3"/>
      <c r="J102" s="3"/>
      <c r="K102" s="3"/>
      <c r="L102" s="85"/>
      <c r="M102" s="45"/>
      <c r="N102" s="5"/>
      <c r="O102" s="3"/>
      <c r="P102" s="8"/>
      <c r="Q102" s="8"/>
      <c r="R102" s="5"/>
      <c r="S102" s="5"/>
      <c r="T102" s="3"/>
      <c r="U102" s="3"/>
      <c r="V102" s="3"/>
      <c r="W102" s="3"/>
      <c r="X102" s="5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>
        <f t="shared" si="14"/>
        <v>0</v>
      </c>
      <c r="BQ102" s="43">
        <f t="shared" si="14"/>
        <v>0</v>
      </c>
      <c r="BR102" s="43">
        <f t="shared" si="14"/>
        <v>0</v>
      </c>
      <c r="BS102" s="43">
        <f t="shared" si="14"/>
        <v>0</v>
      </c>
      <c r="BT102" s="43">
        <f t="shared" si="14"/>
        <v>0</v>
      </c>
      <c r="BU102" s="43">
        <f>SUM(tblSOW8[[#This Row],[P1]:[P12]])</f>
        <v>0</v>
      </c>
      <c r="BV102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02" s="43">
        <f>IFERROR(VLOOKUP(K102,[30]Parameters!BN:BW,10,0),0)</f>
        <v>0</v>
      </c>
      <c r="BX102" s="43">
        <f>SUM(tblSOW8[[#This Row],[Jan 2023 USD]:[Mar 2023 USD]])</f>
        <v>0</v>
      </c>
      <c r="BY102" s="43">
        <f>SUM(tblSOW8[[#This Row],[Apr 2023 USD]:[Jun 2023 USD]])</f>
        <v>0</v>
      </c>
      <c r="BZ102" s="43">
        <f>SUM(tblSOW8[[#This Row],[Jul 2023 USD]:[Sep 2023 USD]])</f>
        <v>0</v>
      </c>
      <c r="CA102" s="43">
        <f>SUM(tblSOW8[[#This Row],[Oct 2023 USD]:[Dec 2023 USD]])</f>
        <v>0</v>
      </c>
    </row>
    <row r="103" spans="1:79" s="36" customFormat="1">
      <c r="A103" s="5"/>
      <c r="B103" s="5"/>
      <c r="C103" s="5"/>
      <c r="D103" s="39"/>
      <c r="E103" s="40"/>
      <c r="F103" s="39"/>
      <c r="G103" s="5"/>
      <c r="H103" s="5"/>
      <c r="I103" s="3"/>
      <c r="J103" s="3"/>
      <c r="K103" s="3"/>
      <c r="L103" s="85"/>
      <c r="M103" s="45"/>
      <c r="N103" s="5"/>
      <c r="O103" s="3"/>
      <c r="P103" s="8"/>
      <c r="Q103" s="8"/>
      <c r="R103" s="5"/>
      <c r="S103" s="5"/>
      <c r="T103" s="3"/>
      <c r="U103" s="116"/>
      <c r="V103" s="3"/>
      <c r="W103" s="3"/>
      <c r="X103" s="5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>
        <f t="shared" si="14"/>
        <v>0</v>
      </c>
      <c r="BQ103" s="43">
        <f t="shared" si="14"/>
        <v>0</v>
      </c>
      <c r="BR103" s="43">
        <f t="shared" si="14"/>
        <v>0</v>
      </c>
      <c r="BS103" s="43">
        <f t="shared" si="14"/>
        <v>0</v>
      </c>
      <c r="BT103" s="43">
        <f t="shared" si="14"/>
        <v>0</v>
      </c>
      <c r="BU103" s="43">
        <f>SUM(tblSOW8[[#This Row],[P1]:[P12]])</f>
        <v>0</v>
      </c>
      <c r="BV103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03" s="43">
        <f>IFERROR(VLOOKUP(K103,[30]Parameters!BN:BW,10,0),0)</f>
        <v>0</v>
      </c>
      <c r="BX103" s="43">
        <f>SUM(tblSOW8[[#This Row],[Jan 2023 USD]:[Mar 2023 USD]])</f>
        <v>0</v>
      </c>
      <c r="BY103" s="43">
        <f>SUM(tblSOW8[[#This Row],[Apr 2023 USD]:[Jun 2023 USD]])</f>
        <v>0</v>
      </c>
      <c r="BZ103" s="43">
        <f>SUM(tblSOW8[[#This Row],[Jul 2023 USD]:[Sep 2023 USD]])</f>
        <v>0</v>
      </c>
      <c r="CA103" s="43">
        <f>SUM(tblSOW8[[#This Row],[Oct 2023 USD]:[Dec 2023 USD]])</f>
        <v>0</v>
      </c>
    </row>
    <row r="104" spans="1:79" s="36" customFormat="1">
      <c r="A104" s="5"/>
      <c r="B104" s="5"/>
      <c r="C104" s="5"/>
      <c r="D104" s="39"/>
      <c r="E104" s="40"/>
      <c r="F104" s="39"/>
      <c r="G104" s="5"/>
      <c r="H104" s="5"/>
      <c r="I104" s="3"/>
      <c r="J104" s="3"/>
      <c r="K104" s="3"/>
      <c r="L104" s="85"/>
      <c r="M104" s="45"/>
      <c r="N104" s="5"/>
      <c r="O104" s="3"/>
      <c r="P104" s="8"/>
      <c r="Q104" s="8"/>
      <c r="R104" s="5"/>
      <c r="S104" s="5"/>
      <c r="T104" s="3"/>
      <c r="U104" s="3"/>
      <c r="V104" s="3"/>
      <c r="W104" s="3"/>
      <c r="X104" s="5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>
        <f t="shared" si="14"/>
        <v>0</v>
      </c>
      <c r="BQ104" s="43">
        <f t="shared" si="14"/>
        <v>0</v>
      </c>
      <c r="BR104" s="43">
        <f t="shared" si="14"/>
        <v>0</v>
      </c>
      <c r="BS104" s="43">
        <f t="shared" si="14"/>
        <v>0</v>
      </c>
      <c r="BT104" s="43">
        <f t="shared" si="14"/>
        <v>0</v>
      </c>
      <c r="BU104" s="43">
        <f>SUM(tblSOW8[[#This Row],[P1]:[P12]])</f>
        <v>0</v>
      </c>
      <c r="BV104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04" s="43">
        <f>IFERROR(VLOOKUP(K104,[30]Parameters!BN:BW,10,0),0)</f>
        <v>0</v>
      </c>
      <c r="BX104" s="43">
        <f>SUM(tblSOW8[[#This Row],[Jan 2023 USD]:[Mar 2023 USD]])</f>
        <v>0</v>
      </c>
      <c r="BY104" s="43">
        <f>SUM(tblSOW8[[#This Row],[Apr 2023 USD]:[Jun 2023 USD]])</f>
        <v>0</v>
      </c>
      <c r="BZ104" s="43">
        <f>SUM(tblSOW8[[#This Row],[Jul 2023 USD]:[Sep 2023 USD]])</f>
        <v>0</v>
      </c>
      <c r="CA104" s="43">
        <f>SUM(tblSOW8[[#This Row],[Oct 2023 USD]:[Dec 2023 USD]])</f>
        <v>0</v>
      </c>
    </row>
    <row r="105" spans="1:79" s="36" customFormat="1">
      <c r="A105" s="5"/>
      <c r="B105" s="5"/>
      <c r="C105" s="5"/>
      <c r="D105" s="39"/>
      <c r="E105" s="40"/>
      <c r="F105" s="39"/>
      <c r="G105" s="5"/>
      <c r="H105" s="5"/>
      <c r="I105" s="3"/>
      <c r="J105" s="3"/>
      <c r="K105" s="3"/>
      <c r="L105" s="85"/>
      <c r="M105" s="45"/>
      <c r="N105" s="5"/>
      <c r="O105" s="3"/>
      <c r="P105" s="8"/>
      <c r="Q105" s="8"/>
      <c r="R105" s="5"/>
      <c r="S105" s="5"/>
      <c r="T105" s="3"/>
      <c r="U105" s="116"/>
      <c r="V105" s="3"/>
      <c r="W105" s="3"/>
      <c r="X105" s="5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>
        <f t="shared" si="14"/>
        <v>0</v>
      </c>
      <c r="BQ105" s="43">
        <f t="shared" si="14"/>
        <v>0</v>
      </c>
      <c r="BR105" s="43">
        <f t="shared" si="14"/>
        <v>0</v>
      </c>
      <c r="BS105" s="43">
        <f t="shared" si="14"/>
        <v>0</v>
      </c>
      <c r="BT105" s="43">
        <f t="shared" si="14"/>
        <v>0</v>
      </c>
      <c r="BU105" s="43">
        <f>SUM(tblSOW8[[#This Row],[P1]:[P12]])</f>
        <v>0</v>
      </c>
      <c r="BV105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05" s="43">
        <f>IFERROR(VLOOKUP(K105,[30]Parameters!BN:BW,10,0),0)</f>
        <v>0</v>
      </c>
      <c r="BX105" s="43">
        <f>SUM(tblSOW8[[#This Row],[Jan 2023 USD]:[Mar 2023 USD]])</f>
        <v>0</v>
      </c>
      <c r="BY105" s="43">
        <f>SUM(tblSOW8[[#This Row],[Apr 2023 USD]:[Jun 2023 USD]])</f>
        <v>0</v>
      </c>
      <c r="BZ105" s="43">
        <f>SUM(tblSOW8[[#This Row],[Jul 2023 USD]:[Sep 2023 USD]])</f>
        <v>0</v>
      </c>
      <c r="CA105" s="43">
        <f>SUM(tblSOW8[[#This Row],[Oct 2023 USD]:[Dec 2023 USD]])</f>
        <v>0</v>
      </c>
    </row>
    <row r="106" spans="1:79" s="36" customFormat="1">
      <c r="A106" s="5"/>
      <c r="B106" s="5"/>
      <c r="C106" s="5"/>
      <c r="D106" s="39"/>
      <c r="E106" s="40"/>
      <c r="F106" s="39"/>
      <c r="G106" s="5"/>
      <c r="H106" s="5"/>
      <c r="I106" s="3"/>
      <c r="J106" s="3"/>
      <c r="K106" s="3"/>
      <c r="L106" s="85"/>
      <c r="M106" s="45"/>
      <c r="N106" s="5"/>
      <c r="O106" s="3"/>
      <c r="P106" s="8"/>
      <c r="Q106" s="8"/>
      <c r="R106" s="5"/>
      <c r="S106" s="5"/>
      <c r="T106" s="3"/>
      <c r="U106" s="3"/>
      <c r="V106" s="3"/>
      <c r="W106" s="3"/>
      <c r="X106" s="5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>
        <f t="shared" si="14"/>
        <v>0</v>
      </c>
      <c r="BQ106" s="43">
        <f t="shared" si="14"/>
        <v>0</v>
      </c>
      <c r="BR106" s="43">
        <f t="shared" si="14"/>
        <v>0</v>
      </c>
      <c r="BS106" s="43">
        <f t="shared" si="14"/>
        <v>0</v>
      </c>
      <c r="BT106" s="43">
        <f t="shared" si="14"/>
        <v>0</v>
      </c>
      <c r="BU106" s="43">
        <f>SUM(tblSOW8[[#This Row],[P1]:[P12]])</f>
        <v>0</v>
      </c>
      <c r="BV106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06" s="43">
        <f>IFERROR(VLOOKUP(K106,[30]Parameters!BN:BW,10,0),0)</f>
        <v>0</v>
      </c>
      <c r="BX106" s="43">
        <f>SUM(tblSOW8[[#This Row],[Jan 2023 USD]:[Mar 2023 USD]])</f>
        <v>0</v>
      </c>
      <c r="BY106" s="43">
        <f>SUM(tblSOW8[[#This Row],[Apr 2023 USD]:[Jun 2023 USD]])</f>
        <v>0</v>
      </c>
      <c r="BZ106" s="43">
        <f>SUM(tblSOW8[[#This Row],[Jul 2023 USD]:[Sep 2023 USD]])</f>
        <v>0</v>
      </c>
      <c r="CA106" s="43">
        <f>SUM(tblSOW8[[#This Row],[Oct 2023 USD]:[Dec 2023 USD]])</f>
        <v>0</v>
      </c>
    </row>
    <row r="107" spans="1:79" s="36" customFormat="1">
      <c r="A107" s="5"/>
      <c r="B107" s="5"/>
      <c r="C107" s="5"/>
      <c r="D107" s="39"/>
      <c r="E107" s="40"/>
      <c r="F107" s="39"/>
      <c r="G107" s="5"/>
      <c r="H107" s="5"/>
      <c r="I107" s="3"/>
      <c r="J107" s="3"/>
      <c r="K107" s="3"/>
      <c r="L107" s="85"/>
      <c r="M107" s="45"/>
      <c r="N107" s="5"/>
      <c r="O107" s="3"/>
      <c r="P107" s="8"/>
      <c r="Q107" s="8"/>
      <c r="R107" s="5"/>
      <c r="S107" s="5"/>
      <c r="T107" s="3"/>
      <c r="U107" s="116"/>
      <c r="V107" s="3"/>
      <c r="W107" s="3"/>
      <c r="X107" s="5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>
        <f t="shared" si="14"/>
        <v>0</v>
      </c>
      <c r="BQ107" s="43">
        <f t="shared" si="14"/>
        <v>0</v>
      </c>
      <c r="BR107" s="43">
        <f t="shared" si="14"/>
        <v>0</v>
      </c>
      <c r="BS107" s="43">
        <f t="shared" si="14"/>
        <v>0</v>
      </c>
      <c r="BT107" s="43">
        <f t="shared" si="14"/>
        <v>0</v>
      </c>
      <c r="BU107" s="43">
        <f>SUM(tblSOW8[[#This Row],[P1]:[P12]])</f>
        <v>0</v>
      </c>
      <c r="BV107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07" s="43">
        <f>IFERROR(VLOOKUP(K107,[30]Parameters!BN:BW,10,0),0)</f>
        <v>0</v>
      </c>
      <c r="BX107" s="43">
        <f>SUM(tblSOW8[[#This Row],[Jan 2023 USD]:[Mar 2023 USD]])</f>
        <v>0</v>
      </c>
      <c r="BY107" s="43">
        <f>SUM(tblSOW8[[#This Row],[Apr 2023 USD]:[Jun 2023 USD]])</f>
        <v>0</v>
      </c>
      <c r="BZ107" s="43">
        <f>SUM(tblSOW8[[#This Row],[Jul 2023 USD]:[Sep 2023 USD]])</f>
        <v>0</v>
      </c>
      <c r="CA107" s="43">
        <f>SUM(tblSOW8[[#This Row],[Oct 2023 USD]:[Dec 2023 USD]])</f>
        <v>0</v>
      </c>
    </row>
    <row r="108" spans="1:79" s="36" customFormat="1">
      <c r="A108" s="5"/>
      <c r="B108" s="5"/>
      <c r="C108" s="5"/>
      <c r="D108" s="39"/>
      <c r="E108" s="40"/>
      <c r="F108" s="39"/>
      <c r="G108" s="5"/>
      <c r="H108" s="5"/>
      <c r="I108" s="3"/>
      <c r="J108" s="3"/>
      <c r="K108" s="3"/>
      <c r="L108" s="85"/>
      <c r="M108" s="45"/>
      <c r="N108" s="5"/>
      <c r="O108" s="3"/>
      <c r="P108" s="8"/>
      <c r="Q108" s="8"/>
      <c r="R108" s="5"/>
      <c r="S108" s="5"/>
      <c r="T108" s="3"/>
      <c r="U108" s="3"/>
      <c r="V108" s="3"/>
      <c r="W108" s="3"/>
      <c r="X108" s="5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>
        <f t="shared" si="14"/>
        <v>0</v>
      </c>
      <c r="BQ108" s="43">
        <f t="shared" si="14"/>
        <v>0</v>
      </c>
      <c r="BR108" s="43">
        <f t="shared" si="14"/>
        <v>0</v>
      </c>
      <c r="BS108" s="43">
        <f t="shared" si="14"/>
        <v>0</v>
      </c>
      <c r="BT108" s="43">
        <f t="shared" si="14"/>
        <v>0</v>
      </c>
      <c r="BU108" s="43">
        <f>SUM(tblSOW8[[#This Row],[P1]:[P12]])</f>
        <v>0</v>
      </c>
      <c r="BV108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08" s="43">
        <f>IFERROR(VLOOKUP(K108,[30]Parameters!BN:BW,10,0),0)</f>
        <v>0</v>
      </c>
      <c r="BX108" s="43">
        <f>SUM(tblSOW8[[#This Row],[Jan 2023 USD]:[Mar 2023 USD]])</f>
        <v>0</v>
      </c>
      <c r="BY108" s="43">
        <f>SUM(tblSOW8[[#This Row],[Apr 2023 USD]:[Jun 2023 USD]])</f>
        <v>0</v>
      </c>
      <c r="BZ108" s="43">
        <f>SUM(tblSOW8[[#This Row],[Jul 2023 USD]:[Sep 2023 USD]])</f>
        <v>0</v>
      </c>
      <c r="CA108" s="43">
        <f>SUM(tblSOW8[[#This Row],[Oct 2023 USD]:[Dec 2023 USD]])</f>
        <v>0</v>
      </c>
    </row>
    <row r="109" spans="1:79" s="36" customFormat="1">
      <c r="A109" s="5"/>
      <c r="B109" s="5"/>
      <c r="C109" s="5"/>
      <c r="D109" s="39"/>
      <c r="E109" s="40"/>
      <c r="F109" s="39"/>
      <c r="G109" s="5"/>
      <c r="H109" s="5"/>
      <c r="I109" s="3"/>
      <c r="J109" s="3"/>
      <c r="K109" s="3"/>
      <c r="L109" s="85"/>
      <c r="M109" s="45"/>
      <c r="N109" s="5"/>
      <c r="O109" s="3"/>
      <c r="P109" s="8"/>
      <c r="Q109" s="8"/>
      <c r="R109" s="5"/>
      <c r="S109" s="5"/>
      <c r="T109" s="3"/>
      <c r="U109" s="116"/>
      <c r="V109" s="3"/>
      <c r="W109" s="3"/>
      <c r="X109" s="5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>
        <f t="shared" si="14"/>
        <v>0</v>
      </c>
      <c r="BQ109" s="43">
        <f t="shared" si="14"/>
        <v>0</v>
      </c>
      <c r="BR109" s="43">
        <f t="shared" si="14"/>
        <v>0</v>
      </c>
      <c r="BS109" s="43">
        <f t="shared" si="14"/>
        <v>0</v>
      </c>
      <c r="BT109" s="43">
        <f t="shared" si="14"/>
        <v>0</v>
      </c>
      <c r="BU109" s="43">
        <f>SUM(tblSOW8[[#This Row],[P1]:[P12]])</f>
        <v>0</v>
      </c>
      <c r="BV109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09" s="43">
        <f>IFERROR(VLOOKUP(K109,[30]Parameters!BN:BW,10,0),0)</f>
        <v>0</v>
      </c>
      <c r="BX109" s="43">
        <f>SUM(tblSOW8[[#This Row],[Jan 2023 USD]:[Mar 2023 USD]])</f>
        <v>0</v>
      </c>
      <c r="BY109" s="43">
        <f>SUM(tblSOW8[[#This Row],[Apr 2023 USD]:[Jun 2023 USD]])</f>
        <v>0</v>
      </c>
      <c r="BZ109" s="43">
        <f>SUM(tblSOW8[[#This Row],[Jul 2023 USD]:[Sep 2023 USD]])</f>
        <v>0</v>
      </c>
      <c r="CA109" s="43">
        <f>SUM(tblSOW8[[#This Row],[Oct 2023 USD]:[Dec 2023 USD]])</f>
        <v>0</v>
      </c>
    </row>
    <row r="110" spans="1:79" s="36" customFormat="1">
      <c r="A110" s="5"/>
      <c r="B110" s="5"/>
      <c r="C110" s="5"/>
      <c r="D110" s="39"/>
      <c r="E110" s="40"/>
      <c r="F110" s="39"/>
      <c r="G110" s="5"/>
      <c r="H110" s="5"/>
      <c r="I110" s="3"/>
      <c r="J110" s="3"/>
      <c r="K110" s="3"/>
      <c r="L110" s="85"/>
      <c r="M110" s="45"/>
      <c r="N110" s="5"/>
      <c r="O110" s="3"/>
      <c r="P110" s="8"/>
      <c r="Q110" s="8"/>
      <c r="R110" s="5"/>
      <c r="S110" s="5"/>
      <c r="T110" s="3"/>
      <c r="U110" s="3"/>
      <c r="V110" s="3"/>
      <c r="W110" s="3"/>
      <c r="X110" s="5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>
        <f t="shared" si="14"/>
        <v>0</v>
      </c>
      <c r="BQ110" s="43">
        <f t="shared" si="14"/>
        <v>0</v>
      </c>
      <c r="BR110" s="43">
        <f t="shared" si="14"/>
        <v>0</v>
      </c>
      <c r="BS110" s="43">
        <f t="shared" si="14"/>
        <v>0</v>
      </c>
      <c r="BT110" s="43">
        <f t="shared" si="14"/>
        <v>0</v>
      </c>
      <c r="BU110" s="43">
        <f>SUM(tblSOW8[[#This Row],[P1]:[P12]])</f>
        <v>0</v>
      </c>
      <c r="BV110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10" s="43">
        <f>IFERROR(VLOOKUP(K110,[30]Parameters!BN:BW,10,0),0)</f>
        <v>0</v>
      </c>
      <c r="BX110" s="43">
        <f>SUM(tblSOW8[[#This Row],[Jan 2023 USD]:[Mar 2023 USD]])</f>
        <v>0</v>
      </c>
      <c r="BY110" s="43">
        <f>SUM(tblSOW8[[#This Row],[Apr 2023 USD]:[Jun 2023 USD]])</f>
        <v>0</v>
      </c>
      <c r="BZ110" s="43">
        <f>SUM(tblSOW8[[#This Row],[Jul 2023 USD]:[Sep 2023 USD]])</f>
        <v>0</v>
      </c>
      <c r="CA110" s="43">
        <f>SUM(tblSOW8[[#This Row],[Oct 2023 USD]:[Dec 2023 USD]])</f>
        <v>0</v>
      </c>
    </row>
    <row r="111" spans="1:79" s="36" customFormat="1">
      <c r="A111" s="5"/>
      <c r="B111" s="5"/>
      <c r="C111" s="5"/>
      <c r="D111" s="39"/>
      <c r="E111" s="40"/>
      <c r="F111" s="39"/>
      <c r="G111" s="5"/>
      <c r="H111" s="5"/>
      <c r="I111" s="3"/>
      <c r="J111" s="3"/>
      <c r="K111" s="3"/>
      <c r="L111" s="85"/>
      <c r="M111" s="45"/>
      <c r="N111" s="5"/>
      <c r="O111" s="3"/>
      <c r="P111" s="8"/>
      <c r="Q111" s="8"/>
      <c r="R111" s="5"/>
      <c r="S111" s="5"/>
      <c r="T111" s="3"/>
      <c r="U111" s="116"/>
      <c r="V111" s="3"/>
      <c r="W111" s="3"/>
      <c r="X111" s="5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>
        <f t="shared" si="14"/>
        <v>0</v>
      </c>
      <c r="BQ111" s="43">
        <f t="shared" si="14"/>
        <v>0</v>
      </c>
      <c r="BR111" s="43">
        <f t="shared" si="14"/>
        <v>0</v>
      </c>
      <c r="BS111" s="43">
        <f t="shared" si="14"/>
        <v>0</v>
      </c>
      <c r="BT111" s="43">
        <f t="shared" si="14"/>
        <v>0</v>
      </c>
      <c r="BU111" s="43">
        <f>SUM(tblSOW8[[#This Row],[P1]:[P12]])</f>
        <v>0</v>
      </c>
      <c r="BV111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11" s="43">
        <f>IFERROR(VLOOKUP(K111,[30]Parameters!BN:BW,10,0),0)</f>
        <v>0</v>
      </c>
      <c r="BX111" s="43">
        <f>SUM(tblSOW8[[#This Row],[Jan 2023 USD]:[Mar 2023 USD]])</f>
        <v>0</v>
      </c>
      <c r="BY111" s="43">
        <f>SUM(tblSOW8[[#This Row],[Apr 2023 USD]:[Jun 2023 USD]])</f>
        <v>0</v>
      </c>
      <c r="BZ111" s="43">
        <f>SUM(tblSOW8[[#This Row],[Jul 2023 USD]:[Sep 2023 USD]])</f>
        <v>0</v>
      </c>
      <c r="CA111" s="43">
        <f>SUM(tblSOW8[[#This Row],[Oct 2023 USD]:[Dec 2023 USD]])</f>
        <v>0</v>
      </c>
    </row>
    <row r="112" spans="1:79" s="36" customFormat="1">
      <c r="A112" s="5"/>
      <c r="B112" s="5"/>
      <c r="C112" s="5"/>
      <c r="D112" s="39"/>
      <c r="E112" s="40"/>
      <c r="F112" s="39"/>
      <c r="G112" s="5"/>
      <c r="H112" s="5"/>
      <c r="I112" s="3"/>
      <c r="J112" s="3"/>
      <c r="K112" s="3"/>
      <c r="L112" s="85"/>
      <c r="M112" s="45"/>
      <c r="N112" s="5"/>
      <c r="O112" s="3"/>
      <c r="P112" s="8"/>
      <c r="Q112" s="8"/>
      <c r="R112" s="5"/>
      <c r="S112" s="5"/>
      <c r="T112" s="3"/>
      <c r="U112" s="3"/>
      <c r="V112" s="3"/>
      <c r="W112" s="3"/>
      <c r="X112" s="5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>
        <f t="shared" si="14"/>
        <v>0</v>
      </c>
      <c r="BQ112" s="43">
        <f t="shared" si="14"/>
        <v>0</v>
      </c>
      <c r="BR112" s="43">
        <f t="shared" si="14"/>
        <v>0</v>
      </c>
      <c r="BS112" s="43">
        <f t="shared" si="14"/>
        <v>0</v>
      </c>
      <c r="BT112" s="43">
        <f t="shared" si="14"/>
        <v>0</v>
      </c>
      <c r="BU112" s="43">
        <f>SUM(tblSOW8[[#This Row],[P1]:[P12]])</f>
        <v>0</v>
      </c>
      <c r="BV112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12" s="43">
        <f>IFERROR(VLOOKUP(K112,[30]Parameters!BN:BW,10,0),0)</f>
        <v>0</v>
      </c>
      <c r="BX112" s="43">
        <f>SUM(tblSOW8[[#This Row],[Jan 2023 USD]:[Mar 2023 USD]])</f>
        <v>0</v>
      </c>
      <c r="BY112" s="43">
        <f>SUM(tblSOW8[[#This Row],[Apr 2023 USD]:[Jun 2023 USD]])</f>
        <v>0</v>
      </c>
      <c r="BZ112" s="43">
        <f>SUM(tblSOW8[[#This Row],[Jul 2023 USD]:[Sep 2023 USD]])</f>
        <v>0</v>
      </c>
      <c r="CA112" s="43">
        <f>SUM(tblSOW8[[#This Row],[Oct 2023 USD]:[Dec 2023 USD]])</f>
        <v>0</v>
      </c>
    </row>
    <row r="113" spans="1:79" s="36" customFormat="1">
      <c r="A113" s="5"/>
      <c r="B113" s="5"/>
      <c r="C113" s="5"/>
      <c r="D113" s="39"/>
      <c r="E113" s="40"/>
      <c r="F113" s="39"/>
      <c r="G113" s="5"/>
      <c r="H113" s="5"/>
      <c r="I113" s="3"/>
      <c r="J113" s="3"/>
      <c r="K113" s="3"/>
      <c r="L113" s="85"/>
      <c r="M113" s="45"/>
      <c r="N113" s="5"/>
      <c r="O113" s="3"/>
      <c r="P113" s="8"/>
      <c r="Q113" s="8"/>
      <c r="R113" s="5"/>
      <c r="S113" s="5"/>
      <c r="T113" s="3"/>
      <c r="U113" s="116"/>
      <c r="V113" s="3"/>
      <c r="W113" s="3"/>
      <c r="X113" s="5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>
        <f t="shared" si="14"/>
        <v>0</v>
      </c>
      <c r="BQ113" s="43">
        <f t="shared" si="14"/>
        <v>0</v>
      </c>
      <c r="BR113" s="43">
        <f t="shared" si="14"/>
        <v>0</v>
      </c>
      <c r="BS113" s="43">
        <f t="shared" si="14"/>
        <v>0</v>
      </c>
      <c r="BT113" s="43">
        <f t="shared" si="14"/>
        <v>0</v>
      </c>
      <c r="BU113" s="43">
        <f>SUM(tblSOW8[[#This Row],[P1]:[P12]])</f>
        <v>0</v>
      </c>
      <c r="BV113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13" s="43">
        <f>IFERROR(VLOOKUP(K113,[30]Parameters!BN:BW,10,0),0)</f>
        <v>0</v>
      </c>
      <c r="BX113" s="43">
        <f>SUM(tblSOW8[[#This Row],[Jan 2023 USD]:[Mar 2023 USD]])</f>
        <v>0</v>
      </c>
      <c r="BY113" s="43">
        <f>SUM(tblSOW8[[#This Row],[Apr 2023 USD]:[Jun 2023 USD]])</f>
        <v>0</v>
      </c>
      <c r="BZ113" s="43">
        <f>SUM(tblSOW8[[#This Row],[Jul 2023 USD]:[Sep 2023 USD]])</f>
        <v>0</v>
      </c>
      <c r="CA113" s="43">
        <f>SUM(tblSOW8[[#This Row],[Oct 2023 USD]:[Dec 2023 USD]])</f>
        <v>0</v>
      </c>
    </row>
    <row r="114" spans="1:79" s="36" customFormat="1">
      <c r="A114" s="5"/>
      <c r="B114" s="5"/>
      <c r="C114" s="5"/>
      <c r="D114" s="39"/>
      <c r="E114" s="40"/>
      <c r="F114" s="39"/>
      <c r="G114" s="5"/>
      <c r="H114" s="5"/>
      <c r="I114" s="3"/>
      <c r="J114" s="3"/>
      <c r="K114" s="3"/>
      <c r="L114" s="85"/>
      <c r="M114" s="45"/>
      <c r="N114" s="5"/>
      <c r="O114" s="3"/>
      <c r="P114" s="8"/>
      <c r="Q114" s="8"/>
      <c r="R114" s="5"/>
      <c r="S114" s="5"/>
      <c r="T114" s="3"/>
      <c r="U114" s="3"/>
      <c r="V114" s="3"/>
      <c r="W114" s="3"/>
      <c r="X114" s="5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>
        <f t="shared" si="14"/>
        <v>0</v>
      </c>
      <c r="BQ114" s="43">
        <f t="shared" si="14"/>
        <v>0</v>
      </c>
      <c r="BR114" s="43">
        <f t="shared" si="14"/>
        <v>0</v>
      </c>
      <c r="BS114" s="43">
        <f t="shared" si="14"/>
        <v>0</v>
      </c>
      <c r="BT114" s="43">
        <f t="shared" si="14"/>
        <v>0</v>
      </c>
      <c r="BU114" s="43">
        <f>SUM(tblSOW8[[#This Row],[P1]:[P12]])</f>
        <v>0</v>
      </c>
      <c r="BV114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14" s="43">
        <f>IFERROR(VLOOKUP(K114,[30]Parameters!BN:BW,10,0),0)</f>
        <v>0</v>
      </c>
      <c r="BX114" s="43">
        <f>SUM(tblSOW8[[#This Row],[Jan 2023 USD]:[Mar 2023 USD]])</f>
        <v>0</v>
      </c>
      <c r="BY114" s="43">
        <f>SUM(tblSOW8[[#This Row],[Apr 2023 USD]:[Jun 2023 USD]])</f>
        <v>0</v>
      </c>
      <c r="BZ114" s="43">
        <f>SUM(tblSOW8[[#This Row],[Jul 2023 USD]:[Sep 2023 USD]])</f>
        <v>0</v>
      </c>
      <c r="CA114" s="43">
        <f>SUM(tblSOW8[[#This Row],[Oct 2023 USD]:[Dec 2023 USD]])</f>
        <v>0</v>
      </c>
    </row>
    <row r="115" spans="1:79" s="36" customFormat="1">
      <c r="A115" s="5"/>
      <c r="B115" s="5"/>
      <c r="C115" s="5"/>
      <c r="D115" s="39"/>
      <c r="E115" s="40"/>
      <c r="F115" s="39"/>
      <c r="G115" s="5"/>
      <c r="H115" s="5"/>
      <c r="I115" s="3"/>
      <c r="J115" s="3"/>
      <c r="K115" s="3"/>
      <c r="L115" s="85"/>
      <c r="M115" s="45"/>
      <c r="N115" s="5"/>
      <c r="O115" s="3"/>
      <c r="P115" s="8"/>
      <c r="Q115" s="8"/>
      <c r="R115" s="5"/>
      <c r="S115" s="5"/>
      <c r="T115" s="3"/>
      <c r="U115" s="116"/>
      <c r="V115" s="3"/>
      <c r="W115" s="3"/>
      <c r="X115" s="5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>
        <f t="shared" si="14"/>
        <v>0</v>
      </c>
      <c r="BQ115" s="43">
        <f t="shared" si="14"/>
        <v>0</v>
      </c>
      <c r="BR115" s="43">
        <f t="shared" si="14"/>
        <v>0</v>
      </c>
      <c r="BS115" s="43">
        <f t="shared" si="14"/>
        <v>0</v>
      </c>
      <c r="BT115" s="43">
        <f t="shared" si="14"/>
        <v>0</v>
      </c>
      <c r="BU115" s="43">
        <f>SUM(tblSOW8[[#This Row],[P1]:[P12]])</f>
        <v>0</v>
      </c>
      <c r="BV115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15" s="43">
        <f>IFERROR(VLOOKUP(K115,[30]Parameters!BN:BW,10,0),0)</f>
        <v>0</v>
      </c>
      <c r="BX115" s="43">
        <f>SUM(tblSOW8[[#This Row],[Jan 2023 USD]:[Mar 2023 USD]])</f>
        <v>0</v>
      </c>
      <c r="BY115" s="43">
        <f>SUM(tblSOW8[[#This Row],[Apr 2023 USD]:[Jun 2023 USD]])</f>
        <v>0</v>
      </c>
      <c r="BZ115" s="43">
        <f>SUM(tblSOW8[[#This Row],[Jul 2023 USD]:[Sep 2023 USD]])</f>
        <v>0</v>
      </c>
      <c r="CA115" s="43">
        <f>SUM(tblSOW8[[#This Row],[Oct 2023 USD]:[Dec 2023 USD]])</f>
        <v>0</v>
      </c>
    </row>
    <row r="116" spans="1:79" s="36" customFormat="1">
      <c r="A116" s="5"/>
      <c r="B116" s="5"/>
      <c r="C116" s="5"/>
      <c r="D116" s="39"/>
      <c r="E116" s="40"/>
      <c r="F116" s="39"/>
      <c r="G116" s="5"/>
      <c r="H116" s="5"/>
      <c r="I116" s="3"/>
      <c r="J116" s="3"/>
      <c r="K116" s="3"/>
      <c r="L116" s="85"/>
      <c r="M116" s="45"/>
      <c r="N116" s="5"/>
      <c r="O116" s="3"/>
      <c r="P116" s="8"/>
      <c r="Q116" s="8"/>
      <c r="R116" s="5"/>
      <c r="S116" s="5"/>
      <c r="T116" s="3"/>
      <c r="U116" s="3"/>
      <c r="V116" s="3"/>
      <c r="W116" s="3"/>
      <c r="X116" s="5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>
        <f t="shared" si="14"/>
        <v>0</v>
      </c>
      <c r="BQ116" s="43">
        <f t="shared" si="14"/>
        <v>0</v>
      </c>
      <c r="BR116" s="43">
        <f t="shared" si="14"/>
        <v>0</v>
      </c>
      <c r="BS116" s="43">
        <f t="shared" si="14"/>
        <v>0</v>
      </c>
      <c r="BT116" s="43">
        <f t="shared" si="14"/>
        <v>0</v>
      </c>
      <c r="BU116" s="43">
        <f>SUM(tblSOW8[[#This Row],[P1]:[P12]])</f>
        <v>0</v>
      </c>
      <c r="BV116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16" s="43">
        <f>IFERROR(VLOOKUP(K116,[30]Parameters!BN:BW,10,0),0)</f>
        <v>0</v>
      </c>
      <c r="BX116" s="43">
        <f>SUM(tblSOW8[[#This Row],[Jan 2023 USD]:[Mar 2023 USD]])</f>
        <v>0</v>
      </c>
      <c r="BY116" s="43">
        <f>SUM(tblSOW8[[#This Row],[Apr 2023 USD]:[Jun 2023 USD]])</f>
        <v>0</v>
      </c>
      <c r="BZ116" s="43">
        <f>SUM(tblSOW8[[#This Row],[Jul 2023 USD]:[Sep 2023 USD]])</f>
        <v>0</v>
      </c>
      <c r="CA116" s="43">
        <f>SUM(tblSOW8[[#This Row],[Oct 2023 USD]:[Dec 2023 USD]])</f>
        <v>0</v>
      </c>
    </row>
    <row r="117" spans="1:79" s="36" customFormat="1">
      <c r="A117" s="5"/>
      <c r="B117" s="5"/>
      <c r="C117" s="5"/>
      <c r="D117" s="39"/>
      <c r="E117" s="40"/>
      <c r="F117" s="39"/>
      <c r="G117" s="5"/>
      <c r="H117" s="5"/>
      <c r="I117" s="3"/>
      <c r="J117" s="3"/>
      <c r="K117" s="3"/>
      <c r="L117" s="85"/>
      <c r="M117" s="45"/>
      <c r="N117" s="5"/>
      <c r="O117" s="3"/>
      <c r="P117" s="8"/>
      <c r="Q117" s="8"/>
      <c r="R117" s="5"/>
      <c r="S117" s="5"/>
      <c r="T117" s="3"/>
      <c r="U117" s="116"/>
      <c r="V117" s="3"/>
      <c r="W117" s="3"/>
      <c r="X117" s="5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>
        <f t="shared" si="14"/>
        <v>0</v>
      </c>
      <c r="BQ117" s="43">
        <f t="shared" si="14"/>
        <v>0</v>
      </c>
      <c r="BR117" s="43">
        <f t="shared" si="14"/>
        <v>0</v>
      </c>
      <c r="BS117" s="43">
        <f t="shared" si="14"/>
        <v>0</v>
      </c>
      <c r="BT117" s="43">
        <f t="shared" si="14"/>
        <v>0</v>
      </c>
      <c r="BU117" s="43">
        <f>SUM(tblSOW8[[#This Row],[P1]:[P12]])</f>
        <v>0</v>
      </c>
      <c r="BV117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17" s="43">
        <f>IFERROR(VLOOKUP(K117,[30]Parameters!BN:BW,10,0),0)</f>
        <v>0</v>
      </c>
      <c r="BX117" s="43">
        <f>SUM(tblSOW8[[#This Row],[Jan 2023 USD]:[Mar 2023 USD]])</f>
        <v>0</v>
      </c>
      <c r="BY117" s="43">
        <f>SUM(tblSOW8[[#This Row],[Apr 2023 USD]:[Jun 2023 USD]])</f>
        <v>0</v>
      </c>
      <c r="BZ117" s="43">
        <f>SUM(tblSOW8[[#This Row],[Jul 2023 USD]:[Sep 2023 USD]])</f>
        <v>0</v>
      </c>
      <c r="CA117" s="43">
        <f>SUM(tblSOW8[[#This Row],[Oct 2023 USD]:[Dec 2023 USD]])</f>
        <v>0</v>
      </c>
    </row>
    <row r="118" spans="1:79" s="36" customFormat="1">
      <c r="A118" s="5"/>
      <c r="B118" s="5"/>
      <c r="C118" s="5"/>
      <c r="D118" s="39"/>
      <c r="E118" s="40"/>
      <c r="F118" s="39"/>
      <c r="G118" s="5"/>
      <c r="H118" s="5"/>
      <c r="I118" s="3"/>
      <c r="J118" s="3"/>
      <c r="K118" s="3"/>
      <c r="L118" s="85"/>
      <c r="M118" s="45"/>
      <c r="N118" s="5"/>
      <c r="O118" s="3"/>
      <c r="P118" s="8"/>
      <c r="Q118" s="8"/>
      <c r="R118" s="5"/>
      <c r="S118" s="5"/>
      <c r="T118" s="3"/>
      <c r="U118" s="3"/>
      <c r="V118" s="3"/>
      <c r="W118" s="3"/>
      <c r="X118" s="5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>
        <f t="shared" si="14"/>
        <v>0</v>
      </c>
      <c r="BQ118" s="43">
        <f t="shared" si="14"/>
        <v>0</v>
      </c>
      <c r="BR118" s="43">
        <f t="shared" si="14"/>
        <v>0</v>
      </c>
      <c r="BS118" s="43">
        <f t="shared" si="14"/>
        <v>0</v>
      </c>
      <c r="BT118" s="43">
        <f t="shared" si="14"/>
        <v>0</v>
      </c>
      <c r="BU118" s="43">
        <f>SUM(tblSOW8[[#This Row],[P1]:[P12]])</f>
        <v>0</v>
      </c>
      <c r="BV118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18" s="43">
        <f>IFERROR(VLOOKUP(K118,[30]Parameters!BN:BW,10,0),0)</f>
        <v>0</v>
      </c>
      <c r="BX118" s="43">
        <f>SUM(tblSOW8[[#This Row],[Jan 2023 USD]:[Mar 2023 USD]])</f>
        <v>0</v>
      </c>
      <c r="BY118" s="43">
        <f>SUM(tblSOW8[[#This Row],[Apr 2023 USD]:[Jun 2023 USD]])</f>
        <v>0</v>
      </c>
      <c r="BZ118" s="43">
        <f>SUM(tblSOW8[[#This Row],[Jul 2023 USD]:[Sep 2023 USD]])</f>
        <v>0</v>
      </c>
      <c r="CA118" s="43">
        <f>SUM(tblSOW8[[#This Row],[Oct 2023 USD]:[Dec 2023 USD]])</f>
        <v>0</v>
      </c>
    </row>
    <row r="119" spans="1:79" s="36" customFormat="1">
      <c r="A119" s="5"/>
      <c r="B119" s="5"/>
      <c r="C119" s="5"/>
      <c r="D119" s="39"/>
      <c r="E119" s="40"/>
      <c r="F119" s="39"/>
      <c r="G119" s="5"/>
      <c r="H119" s="5"/>
      <c r="I119" s="3"/>
      <c r="J119" s="3"/>
      <c r="K119" s="3"/>
      <c r="L119" s="85"/>
      <c r="M119" s="45"/>
      <c r="N119" s="5"/>
      <c r="O119" s="3"/>
      <c r="P119" s="8"/>
      <c r="Q119" s="8"/>
      <c r="R119" s="5"/>
      <c r="S119" s="5"/>
      <c r="T119" s="3"/>
      <c r="U119" s="116"/>
      <c r="V119" s="3"/>
      <c r="W119" s="3"/>
      <c r="X119" s="5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>
        <f t="shared" si="14"/>
        <v>0</v>
      </c>
      <c r="BQ119" s="43">
        <f t="shared" si="14"/>
        <v>0</v>
      </c>
      <c r="BR119" s="43">
        <f t="shared" si="14"/>
        <v>0</v>
      </c>
      <c r="BS119" s="43">
        <f t="shared" si="14"/>
        <v>0</v>
      </c>
      <c r="BT119" s="43">
        <f t="shared" si="14"/>
        <v>0</v>
      </c>
      <c r="BU119" s="43">
        <f>SUM(tblSOW8[[#This Row],[P1]:[P12]])</f>
        <v>0</v>
      </c>
      <c r="BV119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19" s="43">
        <f>IFERROR(VLOOKUP(K119,[30]Parameters!BN:BW,10,0),0)</f>
        <v>0</v>
      </c>
      <c r="BX119" s="43">
        <f>SUM(tblSOW8[[#This Row],[Jan 2023 USD]:[Mar 2023 USD]])</f>
        <v>0</v>
      </c>
      <c r="BY119" s="43">
        <f>SUM(tblSOW8[[#This Row],[Apr 2023 USD]:[Jun 2023 USD]])</f>
        <v>0</v>
      </c>
      <c r="BZ119" s="43">
        <f>SUM(tblSOW8[[#This Row],[Jul 2023 USD]:[Sep 2023 USD]])</f>
        <v>0</v>
      </c>
      <c r="CA119" s="43">
        <f>SUM(tblSOW8[[#This Row],[Oct 2023 USD]:[Dec 2023 USD]])</f>
        <v>0</v>
      </c>
    </row>
    <row r="120" spans="1:79" s="36" customFormat="1">
      <c r="A120" s="5"/>
      <c r="B120" s="5"/>
      <c r="C120" s="5"/>
      <c r="D120" s="39"/>
      <c r="E120" s="40"/>
      <c r="F120" s="39"/>
      <c r="G120" s="5"/>
      <c r="H120" s="5"/>
      <c r="I120" s="3"/>
      <c r="J120" s="3"/>
      <c r="K120" s="3"/>
      <c r="L120" s="85"/>
      <c r="M120" s="45"/>
      <c r="N120" s="5"/>
      <c r="O120" s="3"/>
      <c r="P120" s="8"/>
      <c r="Q120" s="8"/>
      <c r="R120" s="5"/>
      <c r="S120" s="5"/>
      <c r="T120" s="3"/>
      <c r="U120" s="3"/>
      <c r="V120" s="3"/>
      <c r="W120" s="3"/>
      <c r="X120" s="5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>
        <f t="shared" ref="BP120:BT150" si="15">IF($S120&gt;0,IF(AND(MONTH($P120)&lt;=BP$1,MONTH($Q120)&gt;=BP$1),1,0),0)</f>
        <v>0</v>
      </c>
      <c r="BQ120" s="43">
        <f t="shared" si="15"/>
        <v>0</v>
      </c>
      <c r="BR120" s="43">
        <f t="shared" si="15"/>
        <v>0</v>
      </c>
      <c r="BS120" s="43">
        <f t="shared" si="15"/>
        <v>0</v>
      </c>
      <c r="BT120" s="43">
        <f t="shared" si="15"/>
        <v>0</v>
      </c>
      <c r="BU120" s="43">
        <f>SUM(tblSOW8[[#This Row],[P1]:[P12]])</f>
        <v>0</v>
      </c>
      <c r="BV120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20" s="43">
        <f>IFERROR(VLOOKUP(K120,[30]Parameters!BN:BW,10,0),0)</f>
        <v>0</v>
      </c>
      <c r="BX120" s="43">
        <f>SUM(tblSOW8[[#This Row],[Jan 2023 USD]:[Mar 2023 USD]])</f>
        <v>0</v>
      </c>
      <c r="BY120" s="43">
        <f>SUM(tblSOW8[[#This Row],[Apr 2023 USD]:[Jun 2023 USD]])</f>
        <v>0</v>
      </c>
      <c r="BZ120" s="43">
        <f>SUM(tblSOW8[[#This Row],[Jul 2023 USD]:[Sep 2023 USD]])</f>
        <v>0</v>
      </c>
      <c r="CA120" s="43">
        <f>SUM(tblSOW8[[#This Row],[Oct 2023 USD]:[Dec 2023 USD]])</f>
        <v>0</v>
      </c>
    </row>
    <row r="121" spans="1:79" s="36" customFormat="1">
      <c r="A121" s="5"/>
      <c r="B121" s="5"/>
      <c r="C121" s="5"/>
      <c r="D121" s="39"/>
      <c r="E121" s="40"/>
      <c r="F121" s="39"/>
      <c r="G121" s="5"/>
      <c r="H121" s="5"/>
      <c r="I121" s="3"/>
      <c r="J121" s="3"/>
      <c r="K121" s="3"/>
      <c r="L121" s="85"/>
      <c r="M121" s="45"/>
      <c r="N121" s="5"/>
      <c r="O121" s="3"/>
      <c r="P121" s="8"/>
      <c r="Q121" s="8"/>
      <c r="R121" s="5"/>
      <c r="S121" s="5"/>
      <c r="T121" s="3"/>
      <c r="U121" s="116"/>
      <c r="V121" s="3"/>
      <c r="W121" s="3"/>
      <c r="X121" s="5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>
        <f t="shared" si="15"/>
        <v>0</v>
      </c>
      <c r="BQ121" s="43">
        <f t="shared" si="15"/>
        <v>0</v>
      </c>
      <c r="BR121" s="43">
        <f t="shared" si="15"/>
        <v>0</v>
      </c>
      <c r="BS121" s="43">
        <f t="shared" si="15"/>
        <v>0</v>
      </c>
      <c r="BT121" s="43">
        <f t="shared" si="15"/>
        <v>0</v>
      </c>
      <c r="BU121" s="43">
        <f>SUM(tblSOW8[[#This Row],[P1]:[P12]])</f>
        <v>0</v>
      </c>
      <c r="BV121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21" s="43">
        <f>IFERROR(VLOOKUP(K121,[30]Parameters!BN:BW,10,0),0)</f>
        <v>0</v>
      </c>
      <c r="BX121" s="43">
        <f>SUM(tblSOW8[[#This Row],[Jan 2023 USD]:[Mar 2023 USD]])</f>
        <v>0</v>
      </c>
      <c r="BY121" s="43">
        <f>SUM(tblSOW8[[#This Row],[Apr 2023 USD]:[Jun 2023 USD]])</f>
        <v>0</v>
      </c>
      <c r="BZ121" s="43">
        <f>SUM(tblSOW8[[#This Row],[Jul 2023 USD]:[Sep 2023 USD]])</f>
        <v>0</v>
      </c>
      <c r="CA121" s="43">
        <f>SUM(tblSOW8[[#This Row],[Oct 2023 USD]:[Dec 2023 USD]])</f>
        <v>0</v>
      </c>
    </row>
    <row r="122" spans="1:79" s="36" customFormat="1">
      <c r="A122" s="5"/>
      <c r="B122" s="5"/>
      <c r="C122" s="5"/>
      <c r="D122" s="39"/>
      <c r="E122" s="40"/>
      <c r="F122" s="39"/>
      <c r="G122" s="5"/>
      <c r="H122" s="5"/>
      <c r="I122" s="3"/>
      <c r="J122" s="3"/>
      <c r="K122" s="3"/>
      <c r="L122" s="85"/>
      <c r="M122" s="45"/>
      <c r="N122" s="5"/>
      <c r="O122" s="3"/>
      <c r="P122" s="8"/>
      <c r="Q122" s="8"/>
      <c r="R122" s="5"/>
      <c r="S122" s="5"/>
      <c r="T122" s="3"/>
      <c r="U122" s="3"/>
      <c r="V122" s="3"/>
      <c r="W122" s="3"/>
      <c r="X122" s="5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>
        <f t="shared" si="15"/>
        <v>0</v>
      </c>
      <c r="BQ122" s="43">
        <f t="shared" si="15"/>
        <v>0</v>
      </c>
      <c r="BR122" s="43">
        <f t="shared" si="15"/>
        <v>0</v>
      </c>
      <c r="BS122" s="43">
        <f t="shared" si="15"/>
        <v>0</v>
      </c>
      <c r="BT122" s="43">
        <f t="shared" si="15"/>
        <v>0</v>
      </c>
      <c r="BU122" s="43">
        <f>SUM(tblSOW8[[#This Row],[P1]:[P12]])</f>
        <v>0</v>
      </c>
      <c r="BV122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22" s="43">
        <f>IFERROR(VLOOKUP(K122,[30]Parameters!BN:BW,10,0),0)</f>
        <v>0</v>
      </c>
      <c r="BX122" s="43">
        <f>SUM(tblSOW8[[#This Row],[Jan 2023 USD]:[Mar 2023 USD]])</f>
        <v>0</v>
      </c>
      <c r="BY122" s="43">
        <f>SUM(tblSOW8[[#This Row],[Apr 2023 USD]:[Jun 2023 USD]])</f>
        <v>0</v>
      </c>
      <c r="BZ122" s="43">
        <f>SUM(tblSOW8[[#This Row],[Jul 2023 USD]:[Sep 2023 USD]])</f>
        <v>0</v>
      </c>
      <c r="CA122" s="43">
        <f>SUM(tblSOW8[[#This Row],[Oct 2023 USD]:[Dec 2023 USD]])</f>
        <v>0</v>
      </c>
    </row>
    <row r="123" spans="1:79" s="36" customFormat="1">
      <c r="A123" s="5"/>
      <c r="B123" s="5"/>
      <c r="C123" s="5"/>
      <c r="D123" s="39"/>
      <c r="E123" s="40"/>
      <c r="F123" s="39"/>
      <c r="G123" s="5"/>
      <c r="H123" s="5"/>
      <c r="I123" s="3"/>
      <c r="J123" s="3"/>
      <c r="K123" s="3"/>
      <c r="L123" s="85"/>
      <c r="M123" s="45"/>
      <c r="N123" s="5"/>
      <c r="O123" s="3"/>
      <c r="P123" s="8"/>
      <c r="Q123" s="8"/>
      <c r="R123" s="5"/>
      <c r="S123" s="5"/>
      <c r="T123" s="3"/>
      <c r="U123" s="116"/>
      <c r="V123" s="3"/>
      <c r="W123" s="3"/>
      <c r="X123" s="5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>
        <f t="shared" si="15"/>
        <v>0</v>
      </c>
      <c r="BQ123" s="43">
        <f t="shared" si="15"/>
        <v>0</v>
      </c>
      <c r="BR123" s="43">
        <f t="shared" si="15"/>
        <v>0</v>
      </c>
      <c r="BS123" s="43">
        <f t="shared" si="15"/>
        <v>0</v>
      </c>
      <c r="BT123" s="43">
        <f t="shared" si="15"/>
        <v>0</v>
      </c>
      <c r="BU123" s="43">
        <f>SUM(tblSOW8[[#This Row],[P1]:[P12]])</f>
        <v>0</v>
      </c>
      <c r="BV123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23" s="43">
        <f>IFERROR(VLOOKUP(K123,[30]Parameters!BN:BW,10,0),0)</f>
        <v>0</v>
      </c>
      <c r="BX123" s="43">
        <f>SUM(tblSOW8[[#This Row],[Jan 2023 USD]:[Mar 2023 USD]])</f>
        <v>0</v>
      </c>
      <c r="BY123" s="43">
        <f>SUM(tblSOW8[[#This Row],[Apr 2023 USD]:[Jun 2023 USD]])</f>
        <v>0</v>
      </c>
      <c r="BZ123" s="43">
        <f>SUM(tblSOW8[[#This Row],[Jul 2023 USD]:[Sep 2023 USD]])</f>
        <v>0</v>
      </c>
      <c r="CA123" s="43">
        <f>SUM(tblSOW8[[#This Row],[Oct 2023 USD]:[Dec 2023 USD]])</f>
        <v>0</v>
      </c>
    </row>
    <row r="124" spans="1:79" s="36" customFormat="1">
      <c r="A124" s="5"/>
      <c r="B124" s="5"/>
      <c r="C124" s="5"/>
      <c r="D124" s="39"/>
      <c r="E124" s="40"/>
      <c r="F124" s="39"/>
      <c r="G124" s="5"/>
      <c r="H124" s="5"/>
      <c r="I124" s="3"/>
      <c r="J124" s="3"/>
      <c r="K124" s="3"/>
      <c r="L124" s="85"/>
      <c r="M124" s="45"/>
      <c r="N124" s="5"/>
      <c r="O124" s="3"/>
      <c r="P124" s="8"/>
      <c r="Q124" s="8"/>
      <c r="R124" s="5"/>
      <c r="S124" s="5"/>
      <c r="T124" s="3"/>
      <c r="U124" s="3"/>
      <c r="V124" s="3"/>
      <c r="W124" s="3"/>
      <c r="X124" s="5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>
        <f t="shared" si="15"/>
        <v>0</v>
      </c>
      <c r="BQ124" s="43">
        <f t="shared" si="15"/>
        <v>0</v>
      </c>
      <c r="BR124" s="43">
        <f t="shared" si="15"/>
        <v>0</v>
      </c>
      <c r="BS124" s="43">
        <f t="shared" si="15"/>
        <v>0</v>
      </c>
      <c r="BT124" s="43">
        <f t="shared" si="15"/>
        <v>0</v>
      </c>
      <c r="BU124" s="43">
        <f>SUM(tblSOW8[[#This Row],[P1]:[P12]])</f>
        <v>0</v>
      </c>
      <c r="BV124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24" s="43">
        <f>IFERROR(VLOOKUP(K124,[30]Parameters!BN:BW,10,0),0)</f>
        <v>0</v>
      </c>
      <c r="BX124" s="43">
        <f>SUM(tblSOW8[[#This Row],[Jan 2023 USD]:[Mar 2023 USD]])</f>
        <v>0</v>
      </c>
      <c r="BY124" s="43">
        <f>SUM(tblSOW8[[#This Row],[Apr 2023 USD]:[Jun 2023 USD]])</f>
        <v>0</v>
      </c>
      <c r="BZ124" s="43">
        <f>SUM(tblSOW8[[#This Row],[Jul 2023 USD]:[Sep 2023 USD]])</f>
        <v>0</v>
      </c>
      <c r="CA124" s="43">
        <f>SUM(tblSOW8[[#This Row],[Oct 2023 USD]:[Dec 2023 USD]])</f>
        <v>0</v>
      </c>
    </row>
    <row r="125" spans="1:79" s="36" customFormat="1">
      <c r="A125" s="5"/>
      <c r="B125" s="5"/>
      <c r="C125" s="5"/>
      <c r="D125" s="39"/>
      <c r="E125" s="40"/>
      <c r="F125" s="39"/>
      <c r="G125" s="5"/>
      <c r="H125" s="5"/>
      <c r="I125" s="3"/>
      <c r="J125" s="3"/>
      <c r="K125" s="3"/>
      <c r="L125" s="85"/>
      <c r="M125" s="45"/>
      <c r="N125" s="5"/>
      <c r="O125" s="3"/>
      <c r="P125" s="8"/>
      <c r="Q125" s="8"/>
      <c r="R125" s="5"/>
      <c r="S125" s="5"/>
      <c r="T125" s="3"/>
      <c r="U125" s="116"/>
      <c r="V125" s="3"/>
      <c r="W125" s="3"/>
      <c r="X125" s="5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>
        <f t="shared" si="15"/>
        <v>0</v>
      </c>
      <c r="BQ125" s="43">
        <f t="shared" si="15"/>
        <v>0</v>
      </c>
      <c r="BR125" s="43">
        <f t="shared" si="15"/>
        <v>0</v>
      </c>
      <c r="BS125" s="43">
        <f t="shared" si="15"/>
        <v>0</v>
      </c>
      <c r="BT125" s="43">
        <f t="shared" si="15"/>
        <v>0</v>
      </c>
      <c r="BU125" s="43">
        <f>SUM(tblSOW8[[#This Row],[P1]:[P12]])</f>
        <v>0</v>
      </c>
      <c r="BV125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25" s="43">
        <f>IFERROR(VLOOKUP(K125,[30]Parameters!BN:BW,10,0),0)</f>
        <v>0</v>
      </c>
      <c r="BX125" s="43">
        <f>SUM(tblSOW8[[#This Row],[Jan 2023 USD]:[Mar 2023 USD]])</f>
        <v>0</v>
      </c>
      <c r="BY125" s="43">
        <f>SUM(tblSOW8[[#This Row],[Apr 2023 USD]:[Jun 2023 USD]])</f>
        <v>0</v>
      </c>
      <c r="BZ125" s="43">
        <f>SUM(tblSOW8[[#This Row],[Jul 2023 USD]:[Sep 2023 USD]])</f>
        <v>0</v>
      </c>
      <c r="CA125" s="43">
        <f>SUM(tblSOW8[[#This Row],[Oct 2023 USD]:[Dec 2023 USD]])</f>
        <v>0</v>
      </c>
    </row>
    <row r="126" spans="1:79" s="36" customFormat="1">
      <c r="A126" s="5"/>
      <c r="B126" s="5"/>
      <c r="C126" s="5"/>
      <c r="D126" s="39"/>
      <c r="E126" s="40"/>
      <c r="F126" s="39"/>
      <c r="G126" s="5"/>
      <c r="H126" s="5"/>
      <c r="I126" s="3"/>
      <c r="J126" s="3"/>
      <c r="K126" s="3"/>
      <c r="L126" s="85"/>
      <c r="M126" s="45"/>
      <c r="N126" s="5"/>
      <c r="O126" s="3"/>
      <c r="P126" s="8"/>
      <c r="Q126" s="8"/>
      <c r="R126" s="5"/>
      <c r="S126" s="5"/>
      <c r="T126" s="3"/>
      <c r="U126" s="3"/>
      <c r="V126" s="3"/>
      <c r="W126" s="3"/>
      <c r="X126" s="5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>
        <f t="shared" si="15"/>
        <v>0</v>
      </c>
      <c r="BQ126" s="43">
        <f t="shared" si="15"/>
        <v>0</v>
      </c>
      <c r="BR126" s="43">
        <f t="shared" si="15"/>
        <v>0</v>
      </c>
      <c r="BS126" s="43">
        <f t="shared" si="15"/>
        <v>0</v>
      </c>
      <c r="BT126" s="43">
        <f t="shared" si="15"/>
        <v>0</v>
      </c>
      <c r="BU126" s="43">
        <f>SUM(tblSOW8[[#This Row],[P1]:[P12]])</f>
        <v>0</v>
      </c>
      <c r="BV126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26" s="43">
        <f>IFERROR(VLOOKUP(K126,[30]Parameters!BN:BW,10,0),0)</f>
        <v>0</v>
      </c>
      <c r="BX126" s="43">
        <f>SUM(tblSOW8[[#This Row],[Jan 2023 USD]:[Mar 2023 USD]])</f>
        <v>0</v>
      </c>
      <c r="BY126" s="43">
        <f>SUM(tblSOW8[[#This Row],[Apr 2023 USD]:[Jun 2023 USD]])</f>
        <v>0</v>
      </c>
      <c r="BZ126" s="43">
        <f>SUM(tblSOW8[[#This Row],[Jul 2023 USD]:[Sep 2023 USD]])</f>
        <v>0</v>
      </c>
      <c r="CA126" s="43">
        <f>SUM(tblSOW8[[#This Row],[Oct 2023 USD]:[Dec 2023 USD]])</f>
        <v>0</v>
      </c>
    </row>
    <row r="127" spans="1:79" s="36" customFormat="1">
      <c r="A127" s="5"/>
      <c r="B127" s="5"/>
      <c r="C127" s="5"/>
      <c r="D127" s="39"/>
      <c r="E127" s="40"/>
      <c r="F127" s="39"/>
      <c r="G127" s="5"/>
      <c r="H127" s="5"/>
      <c r="I127" s="3"/>
      <c r="J127" s="3"/>
      <c r="K127" s="3"/>
      <c r="L127" s="85"/>
      <c r="M127" s="45"/>
      <c r="N127" s="5"/>
      <c r="O127" s="3"/>
      <c r="P127" s="8"/>
      <c r="Q127" s="8"/>
      <c r="R127" s="5"/>
      <c r="S127" s="5"/>
      <c r="T127" s="3"/>
      <c r="U127" s="3"/>
      <c r="V127" s="3"/>
      <c r="W127" s="3"/>
      <c r="X127" s="5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>
        <f t="shared" si="15"/>
        <v>0</v>
      </c>
      <c r="BQ127" s="43">
        <f t="shared" si="15"/>
        <v>0</v>
      </c>
      <c r="BR127" s="43">
        <f t="shared" si="15"/>
        <v>0</v>
      </c>
      <c r="BS127" s="43">
        <f t="shared" si="15"/>
        <v>0</v>
      </c>
      <c r="BT127" s="43">
        <f t="shared" si="15"/>
        <v>0</v>
      </c>
      <c r="BU127" s="43">
        <f>SUM(tblSOW8[[#This Row],[P1]:[P12]])</f>
        <v>0</v>
      </c>
      <c r="BV127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27" s="43">
        <f>IFERROR(VLOOKUP(K127,[30]Parameters!BN:BW,10,0),0)</f>
        <v>0</v>
      </c>
      <c r="BX127" s="43">
        <f>SUM(tblSOW8[[#This Row],[Jan 2023 USD]:[Mar 2023 USD]])</f>
        <v>0</v>
      </c>
      <c r="BY127" s="43">
        <f>SUM(tblSOW8[[#This Row],[Apr 2023 USD]:[Jun 2023 USD]])</f>
        <v>0</v>
      </c>
      <c r="BZ127" s="43">
        <f>SUM(tblSOW8[[#This Row],[Jul 2023 USD]:[Sep 2023 USD]])</f>
        <v>0</v>
      </c>
      <c r="CA127" s="43">
        <f>SUM(tblSOW8[[#This Row],[Oct 2023 USD]:[Dec 2023 USD]])</f>
        <v>0</v>
      </c>
    </row>
    <row r="128" spans="1:79" s="36" customFormat="1">
      <c r="A128" s="5"/>
      <c r="B128" s="5"/>
      <c r="C128" s="5"/>
      <c r="D128" s="39"/>
      <c r="E128" s="40"/>
      <c r="F128" s="39"/>
      <c r="G128" s="5"/>
      <c r="H128" s="5"/>
      <c r="I128" s="3"/>
      <c r="J128" s="3"/>
      <c r="K128" s="3"/>
      <c r="L128" s="85"/>
      <c r="M128" s="45"/>
      <c r="N128" s="5"/>
      <c r="O128" s="3"/>
      <c r="P128" s="8"/>
      <c r="Q128" s="8"/>
      <c r="R128" s="5"/>
      <c r="S128" s="5"/>
      <c r="T128" s="3"/>
      <c r="U128" s="116"/>
      <c r="V128" s="3"/>
      <c r="W128" s="3"/>
      <c r="X128" s="5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>
        <f t="shared" si="15"/>
        <v>0</v>
      </c>
      <c r="BQ128" s="43">
        <f t="shared" si="15"/>
        <v>0</v>
      </c>
      <c r="BR128" s="43">
        <f t="shared" si="15"/>
        <v>0</v>
      </c>
      <c r="BS128" s="43">
        <f t="shared" si="15"/>
        <v>0</v>
      </c>
      <c r="BT128" s="43">
        <f t="shared" si="15"/>
        <v>0</v>
      </c>
      <c r="BU128" s="43">
        <f>SUM(tblSOW8[[#This Row],[P1]:[P12]])</f>
        <v>0</v>
      </c>
      <c r="BV128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28" s="43">
        <f>IFERROR(VLOOKUP(K128,[30]Parameters!BN:BW,10,0),0)</f>
        <v>0</v>
      </c>
      <c r="BX128" s="43">
        <f>SUM(tblSOW8[[#This Row],[Jan 2023 USD]:[Mar 2023 USD]])</f>
        <v>0</v>
      </c>
      <c r="BY128" s="43">
        <f>SUM(tblSOW8[[#This Row],[Apr 2023 USD]:[Jun 2023 USD]])</f>
        <v>0</v>
      </c>
      <c r="BZ128" s="43">
        <f>SUM(tblSOW8[[#This Row],[Jul 2023 USD]:[Sep 2023 USD]])</f>
        <v>0</v>
      </c>
      <c r="CA128" s="43">
        <f>SUM(tblSOW8[[#This Row],[Oct 2023 USD]:[Dec 2023 USD]])</f>
        <v>0</v>
      </c>
    </row>
    <row r="129" spans="1:79" s="36" customFormat="1">
      <c r="A129" s="5"/>
      <c r="B129" s="5"/>
      <c r="C129" s="5"/>
      <c r="D129" s="39"/>
      <c r="E129" s="40"/>
      <c r="F129" s="39"/>
      <c r="G129" s="5"/>
      <c r="H129" s="5"/>
      <c r="I129" s="3"/>
      <c r="J129" s="3"/>
      <c r="K129" s="3"/>
      <c r="L129" s="85"/>
      <c r="M129" s="45"/>
      <c r="N129" s="5"/>
      <c r="O129" s="3"/>
      <c r="P129" s="8"/>
      <c r="Q129" s="8"/>
      <c r="R129" s="5"/>
      <c r="S129" s="5"/>
      <c r="T129" s="3"/>
      <c r="U129" s="3"/>
      <c r="V129" s="3"/>
      <c r="W129" s="3"/>
      <c r="X129" s="5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>
        <f t="shared" si="15"/>
        <v>0</v>
      </c>
      <c r="BQ129" s="43">
        <f t="shared" si="15"/>
        <v>0</v>
      </c>
      <c r="BR129" s="43">
        <f t="shared" si="15"/>
        <v>0</v>
      </c>
      <c r="BS129" s="43">
        <f t="shared" si="15"/>
        <v>0</v>
      </c>
      <c r="BT129" s="43">
        <f t="shared" si="15"/>
        <v>0</v>
      </c>
      <c r="BU129" s="43">
        <f>SUM(tblSOW8[[#This Row],[P1]:[P12]])</f>
        <v>0</v>
      </c>
      <c r="BV129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29" s="43">
        <f>IFERROR(VLOOKUP(K129,[30]Parameters!BN:BW,10,0),0)</f>
        <v>0</v>
      </c>
      <c r="BX129" s="43">
        <f>SUM(tblSOW8[[#This Row],[Jan 2023 USD]:[Mar 2023 USD]])</f>
        <v>0</v>
      </c>
      <c r="BY129" s="43">
        <f>SUM(tblSOW8[[#This Row],[Apr 2023 USD]:[Jun 2023 USD]])</f>
        <v>0</v>
      </c>
      <c r="BZ129" s="43">
        <f>SUM(tblSOW8[[#This Row],[Jul 2023 USD]:[Sep 2023 USD]])</f>
        <v>0</v>
      </c>
      <c r="CA129" s="43">
        <f>SUM(tblSOW8[[#This Row],[Oct 2023 USD]:[Dec 2023 USD]])</f>
        <v>0</v>
      </c>
    </row>
    <row r="130" spans="1:79" s="36" customFormat="1">
      <c r="A130" s="5"/>
      <c r="B130" s="5"/>
      <c r="C130" s="5"/>
      <c r="D130" s="39"/>
      <c r="E130" s="40"/>
      <c r="F130" s="39"/>
      <c r="G130" s="5"/>
      <c r="H130" s="5"/>
      <c r="I130" s="3"/>
      <c r="J130" s="3"/>
      <c r="K130" s="3"/>
      <c r="L130" s="85"/>
      <c r="M130" s="45"/>
      <c r="N130" s="5"/>
      <c r="O130" s="3"/>
      <c r="P130" s="8"/>
      <c r="Q130" s="8"/>
      <c r="R130" s="5"/>
      <c r="S130" s="5"/>
      <c r="T130" s="3"/>
      <c r="U130" s="116"/>
      <c r="V130" s="3"/>
      <c r="W130" s="3"/>
      <c r="X130" s="5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>
        <f t="shared" si="15"/>
        <v>0</v>
      </c>
      <c r="BQ130" s="43">
        <f t="shared" si="15"/>
        <v>0</v>
      </c>
      <c r="BR130" s="43">
        <f t="shared" si="15"/>
        <v>0</v>
      </c>
      <c r="BS130" s="43">
        <f t="shared" si="15"/>
        <v>0</v>
      </c>
      <c r="BT130" s="43">
        <f t="shared" si="15"/>
        <v>0</v>
      </c>
      <c r="BU130" s="43">
        <f>SUM(tblSOW8[[#This Row],[P1]:[P12]])</f>
        <v>0</v>
      </c>
      <c r="BV130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30" s="43">
        <f>IFERROR(VLOOKUP(K130,[30]Parameters!BN:BW,10,0),0)</f>
        <v>0</v>
      </c>
      <c r="BX130" s="43">
        <f>SUM(tblSOW8[[#This Row],[Jan 2023 USD]:[Mar 2023 USD]])</f>
        <v>0</v>
      </c>
      <c r="BY130" s="43">
        <f>SUM(tblSOW8[[#This Row],[Apr 2023 USD]:[Jun 2023 USD]])</f>
        <v>0</v>
      </c>
      <c r="BZ130" s="43">
        <f>SUM(tblSOW8[[#This Row],[Jul 2023 USD]:[Sep 2023 USD]])</f>
        <v>0</v>
      </c>
      <c r="CA130" s="43">
        <f>SUM(tblSOW8[[#This Row],[Oct 2023 USD]:[Dec 2023 USD]])</f>
        <v>0</v>
      </c>
    </row>
    <row r="131" spans="1:79" s="36" customFormat="1">
      <c r="A131" s="5"/>
      <c r="B131" s="5"/>
      <c r="C131" s="5"/>
      <c r="D131" s="39"/>
      <c r="E131" s="40"/>
      <c r="F131" s="39"/>
      <c r="G131" s="5"/>
      <c r="H131" s="5"/>
      <c r="I131" s="3"/>
      <c r="J131" s="3"/>
      <c r="K131" s="3"/>
      <c r="L131" s="85"/>
      <c r="M131" s="45"/>
      <c r="N131" s="5"/>
      <c r="O131" s="3"/>
      <c r="P131" s="8"/>
      <c r="Q131" s="8"/>
      <c r="R131" s="5"/>
      <c r="S131" s="5"/>
      <c r="T131" s="3"/>
      <c r="U131" s="3"/>
      <c r="V131" s="3"/>
      <c r="W131" s="3"/>
      <c r="X131" s="5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>
        <f t="shared" si="15"/>
        <v>0</v>
      </c>
      <c r="BQ131" s="43">
        <f t="shared" si="15"/>
        <v>0</v>
      </c>
      <c r="BR131" s="43">
        <f t="shared" si="15"/>
        <v>0</v>
      </c>
      <c r="BS131" s="43">
        <f t="shared" si="15"/>
        <v>0</v>
      </c>
      <c r="BT131" s="43">
        <f t="shared" si="15"/>
        <v>0</v>
      </c>
      <c r="BU131" s="43">
        <f>SUM(tblSOW8[[#This Row],[P1]:[P12]])</f>
        <v>0</v>
      </c>
      <c r="BV131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31" s="43">
        <f>IFERROR(VLOOKUP(K131,[30]Parameters!BN:BW,10,0),0)</f>
        <v>0</v>
      </c>
      <c r="BX131" s="43">
        <f>SUM(tblSOW8[[#This Row],[Jan 2023 USD]:[Mar 2023 USD]])</f>
        <v>0</v>
      </c>
      <c r="BY131" s="43">
        <f>SUM(tblSOW8[[#This Row],[Apr 2023 USD]:[Jun 2023 USD]])</f>
        <v>0</v>
      </c>
      <c r="BZ131" s="43">
        <f>SUM(tblSOW8[[#This Row],[Jul 2023 USD]:[Sep 2023 USD]])</f>
        <v>0</v>
      </c>
      <c r="CA131" s="43">
        <f>SUM(tblSOW8[[#This Row],[Oct 2023 USD]:[Dec 2023 USD]])</f>
        <v>0</v>
      </c>
    </row>
    <row r="132" spans="1:79" s="36" customFormat="1">
      <c r="A132" s="5"/>
      <c r="B132" s="5"/>
      <c r="C132" s="5"/>
      <c r="D132" s="39"/>
      <c r="E132" s="40"/>
      <c r="F132" s="39"/>
      <c r="G132" s="5"/>
      <c r="H132" s="5"/>
      <c r="I132" s="3"/>
      <c r="J132" s="3"/>
      <c r="K132" s="3"/>
      <c r="L132" s="85"/>
      <c r="M132" s="45"/>
      <c r="N132" s="5"/>
      <c r="O132" s="3"/>
      <c r="P132" s="8"/>
      <c r="Q132" s="8"/>
      <c r="R132" s="5"/>
      <c r="S132" s="5"/>
      <c r="T132" s="3"/>
      <c r="U132" s="116"/>
      <c r="V132" s="3"/>
      <c r="W132" s="3"/>
      <c r="X132" s="5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>
        <f t="shared" si="15"/>
        <v>0</v>
      </c>
      <c r="BQ132" s="43">
        <f t="shared" si="15"/>
        <v>0</v>
      </c>
      <c r="BR132" s="43">
        <f t="shared" si="15"/>
        <v>0</v>
      </c>
      <c r="BS132" s="43">
        <f t="shared" si="15"/>
        <v>0</v>
      </c>
      <c r="BT132" s="43">
        <f t="shared" si="15"/>
        <v>0</v>
      </c>
      <c r="BU132" s="43">
        <f>SUM(tblSOW8[[#This Row],[P1]:[P12]])</f>
        <v>0</v>
      </c>
      <c r="BV132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32" s="43">
        <f>IFERROR(VLOOKUP(K132,[30]Parameters!BN:BW,10,0),0)</f>
        <v>0</v>
      </c>
      <c r="BX132" s="43">
        <f>SUM(tblSOW8[[#This Row],[Jan 2023 USD]:[Mar 2023 USD]])</f>
        <v>0</v>
      </c>
      <c r="BY132" s="43">
        <f>SUM(tblSOW8[[#This Row],[Apr 2023 USD]:[Jun 2023 USD]])</f>
        <v>0</v>
      </c>
      <c r="BZ132" s="43">
        <f>SUM(tblSOW8[[#This Row],[Jul 2023 USD]:[Sep 2023 USD]])</f>
        <v>0</v>
      </c>
      <c r="CA132" s="43">
        <f>SUM(tblSOW8[[#This Row],[Oct 2023 USD]:[Dec 2023 USD]])</f>
        <v>0</v>
      </c>
    </row>
    <row r="133" spans="1:79" s="36" customFormat="1">
      <c r="A133" s="5"/>
      <c r="B133" s="5"/>
      <c r="C133" s="5"/>
      <c r="D133" s="39"/>
      <c r="E133" s="40"/>
      <c r="F133" s="39"/>
      <c r="G133" s="5"/>
      <c r="H133" s="5"/>
      <c r="I133" s="3"/>
      <c r="J133" s="3"/>
      <c r="K133" s="3"/>
      <c r="L133" s="85"/>
      <c r="M133" s="45"/>
      <c r="N133" s="5"/>
      <c r="O133" s="3"/>
      <c r="P133" s="8"/>
      <c r="Q133" s="8"/>
      <c r="R133" s="5"/>
      <c r="S133" s="5"/>
      <c r="T133" s="3"/>
      <c r="U133" s="3"/>
      <c r="V133" s="3"/>
      <c r="W133" s="3"/>
      <c r="X133" s="5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>
        <f t="shared" si="15"/>
        <v>0</v>
      </c>
      <c r="BQ133" s="43">
        <f t="shared" si="15"/>
        <v>0</v>
      </c>
      <c r="BR133" s="43">
        <f t="shared" si="15"/>
        <v>0</v>
      </c>
      <c r="BS133" s="43">
        <f t="shared" si="15"/>
        <v>0</v>
      </c>
      <c r="BT133" s="43">
        <f t="shared" si="15"/>
        <v>0</v>
      </c>
      <c r="BU133" s="43">
        <f>SUM(tblSOW8[[#This Row],[P1]:[P12]])</f>
        <v>0</v>
      </c>
      <c r="BV133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33" s="43">
        <f>IFERROR(VLOOKUP(K133,[30]Parameters!BN:BW,10,0),0)</f>
        <v>0</v>
      </c>
      <c r="BX133" s="43">
        <f>SUM(tblSOW8[[#This Row],[Jan 2023 USD]:[Mar 2023 USD]])</f>
        <v>0</v>
      </c>
      <c r="BY133" s="43">
        <f>SUM(tblSOW8[[#This Row],[Apr 2023 USD]:[Jun 2023 USD]])</f>
        <v>0</v>
      </c>
      <c r="BZ133" s="43">
        <f>SUM(tblSOW8[[#This Row],[Jul 2023 USD]:[Sep 2023 USD]])</f>
        <v>0</v>
      </c>
      <c r="CA133" s="43">
        <f>SUM(tblSOW8[[#This Row],[Oct 2023 USD]:[Dec 2023 USD]])</f>
        <v>0</v>
      </c>
    </row>
    <row r="134" spans="1:79" s="36" customFormat="1">
      <c r="A134" s="5"/>
      <c r="B134" s="5"/>
      <c r="C134" s="5"/>
      <c r="D134" s="39"/>
      <c r="E134" s="40"/>
      <c r="F134" s="39"/>
      <c r="G134" s="5"/>
      <c r="H134" s="5"/>
      <c r="I134" s="3"/>
      <c r="J134" s="3"/>
      <c r="K134" s="3"/>
      <c r="L134" s="85"/>
      <c r="M134" s="45"/>
      <c r="N134" s="5"/>
      <c r="O134" s="3"/>
      <c r="P134" s="8"/>
      <c r="Q134" s="8"/>
      <c r="R134" s="5"/>
      <c r="S134" s="5"/>
      <c r="T134" s="3"/>
      <c r="U134" s="116"/>
      <c r="V134" s="3"/>
      <c r="W134" s="3"/>
      <c r="X134" s="5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>
        <f t="shared" si="15"/>
        <v>0</v>
      </c>
      <c r="BQ134" s="43">
        <f t="shared" si="15"/>
        <v>0</v>
      </c>
      <c r="BR134" s="43">
        <f t="shared" si="15"/>
        <v>0</v>
      </c>
      <c r="BS134" s="43">
        <f t="shared" si="15"/>
        <v>0</v>
      </c>
      <c r="BT134" s="43">
        <f t="shared" si="15"/>
        <v>0</v>
      </c>
      <c r="BU134" s="43">
        <f>SUM(tblSOW8[[#This Row],[P1]:[P12]])</f>
        <v>0</v>
      </c>
      <c r="BV134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34" s="43">
        <f>IFERROR(VLOOKUP(K134,[30]Parameters!BN:BW,10,0),0)</f>
        <v>0</v>
      </c>
      <c r="BX134" s="43">
        <f>SUM(tblSOW8[[#This Row],[Jan 2023 USD]:[Mar 2023 USD]])</f>
        <v>0</v>
      </c>
      <c r="BY134" s="43">
        <f>SUM(tblSOW8[[#This Row],[Apr 2023 USD]:[Jun 2023 USD]])</f>
        <v>0</v>
      </c>
      <c r="BZ134" s="43">
        <f>SUM(tblSOW8[[#This Row],[Jul 2023 USD]:[Sep 2023 USD]])</f>
        <v>0</v>
      </c>
      <c r="CA134" s="43">
        <f>SUM(tblSOW8[[#This Row],[Oct 2023 USD]:[Dec 2023 USD]])</f>
        <v>0</v>
      </c>
    </row>
    <row r="135" spans="1:79" s="36" customFormat="1">
      <c r="A135" s="5"/>
      <c r="B135" s="5"/>
      <c r="C135" s="5"/>
      <c r="D135" s="39"/>
      <c r="E135" s="40"/>
      <c r="F135" s="39"/>
      <c r="G135" s="5"/>
      <c r="H135" s="5"/>
      <c r="I135" s="3"/>
      <c r="J135" s="3"/>
      <c r="K135" s="3"/>
      <c r="L135" s="85"/>
      <c r="M135" s="45"/>
      <c r="N135" s="5"/>
      <c r="O135" s="3"/>
      <c r="P135" s="8"/>
      <c r="Q135" s="8"/>
      <c r="R135" s="5"/>
      <c r="S135" s="5"/>
      <c r="T135" s="3"/>
      <c r="U135" s="3"/>
      <c r="V135" s="3"/>
      <c r="W135" s="3"/>
      <c r="X135" s="5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>
        <f t="shared" si="15"/>
        <v>0</v>
      </c>
      <c r="BQ135" s="43">
        <f t="shared" si="15"/>
        <v>0</v>
      </c>
      <c r="BR135" s="43">
        <f t="shared" si="15"/>
        <v>0</v>
      </c>
      <c r="BS135" s="43">
        <f t="shared" si="15"/>
        <v>0</v>
      </c>
      <c r="BT135" s="43">
        <f t="shared" si="15"/>
        <v>0</v>
      </c>
      <c r="BU135" s="43">
        <f>SUM(tblSOW8[[#This Row],[P1]:[P12]])</f>
        <v>0</v>
      </c>
      <c r="BV135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35" s="43">
        <f>IFERROR(VLOOKUP(K135,[30]Parameters!BN:BW,10,0),0)</f>
        <v>0</v>
      </c>
      <c r="BX135" s="43">
        <f>SUM(tblSOW8[[#This Row],[Jan 2023 USD]:[Mar 2023 USD]])</f>
        <v>0</v>
      </c>
      <c r="BY135" s="43">
        <f>SUM(tblSOW8[[#This Row],[Apr 2023 USD]:[Jun 2023 USD]])</f>
        <v>0</v>
      </c>
      <c r="BZ135" s="43">
        <f>SUM(tblSOW8[[#This Row],[Jul 2023 USD]:[Sep 2023 USD]])</f>
        <v>0</v>
      </c>
      <c r="CA135" s="43">
        <f>SUM(tblSOW8[[#This Row],[Oct 2023 USD]:[Dec 2023 USD]])</f>
        <v>0</v>
      </c>
    </row>
    <row r="136" spans="1:79" s="36" customFormat="1">
      <c r="A136" s="5"/>
      <c r="B136" s="5"/>
      <c r="C136" s="5"/>
      <c r="D136" s="39"/>
      <c r="E136" s="40"/>
      <c r="F136" s="39"/>
      <c r="G136" s="5"/>
      <c r="H136" s="5"/>
      <c r="I136" s="3"/>
      <c r="J136" s="3"/>
      <c r="K136" s="3"/>
      <c r="L136" s="85"/>
      <c r="M136" s="45"/>
      <c r="N136" s="5"/>
      <c r="O136" s="3"/>
      <c r="P136" s="8"/>
      <c r="Q136" s="8"/>
      <c r="R136" s="5"/>
      <c r="S136" s="5"/>
      <c r="T136" s="3"/>
      <c r="U136" s="116"/>
      <c r="V136" s="3"/>
      <c r="W136" s="3"/>
      <c r="X136" s="5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>
        <f t="shared" si="15"/>
        <v>0</v>
      </c>
      <c r="BQ136" s="43">
        <f t="shared" si="15"/>
        <v>0</v>
      </c>
      <c r="BR136" s="43">
        <f t="shared" si="15"/>
        <v>0</v>
      </c>
      <c r="BS136" s="43">
        <f t="shared" si="15"/>
        <v>0</v>
      </c>
      <c r="BT136" s="43">
        <f t="shared" si="15"/>
        <v>0</v>
      </c>
      <c r="BU136" s="43">
        <f>SUM(tblSOW8[[#This Row],[P1]:[P12]])</f>
        <v>0</v>
      </c>
      <c r="BV136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36" s="43">
        <f>IFERROR(VLOOKUP(K136,[30]Parameters!BN:BW,10,0),0)</f>
        <v>0</v>
      </c>
      <c r="BX136" s="43">
        <f>SUM(tblSOW8[[#This Row],[Jan 2023 USD]:[Mar 2023 USD]])</f>
        <v>0</v>
      </c>
      <c r="BY136" s="43">
        <f>SUM(tblSOW8[[#This Row],[Apr 2023 USD]:[Jun 2023 USD]])</f>
        <v>0</v>
      </c>
      <c r="BZ136" s="43">
        <f>SUM(tblSOW8[[#This Row],[Jul 2023 USD]:[Sep 2023 USD]])</f>
        <v>0</v>
      </c>
      <c r="CA136" s="43">
        <f>SUM(tblSOW8[[#This Row],[Oct 2023 USD]:[Dec 2023 USD]])</f>
        <v>0</v>
      </c>
    </row>
    <row r="137" spans="1:79" s="36" customFormat="1">
      <c r="A137" s="5"/>
      <c r="B137" s="5"/>
      <c r="C137" s="5"/>
      <c r="D137" s="39"/>
      <c r="E137" s="40"/>
      <c r="F137" s="39"/>
      <c r="G137" s="5"/>
      <c r="H137" s="5"/>
      <c r="I137" s="3"/>
      <c r="J137" s="3"/>
      <c r="K137" s="3"/>
      <c r="L137" s="85"/>
      <c r="M137" s="45"/>
      <c r="N137" s="5"/>
      <c r="O137" s="3"/>
      <c r="P137" s="8"/>
      <c r="Q137" s="8"/>
      <c r="R137" s="5"/>
      <c r="S137" s="5"/>
      <c r="T137" s="3"/>
      <c r="U137" s="3"/>
      <c r="V137" s="3"/>
      <c r="W137" s="3"/>
      <c r="X137" s="5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>
        <f t="shared" si="15"/>
        <v>0</v>
      </c>
      <c r="BQ137" s="43">
        <f t="shared" si="15"/>
        <v>0</v>
      </c>
      <c r="BR137" s="43">
        <f t="shared" si="15"/>
        <v>0</v>
      </c>
      <c r="BS137" s="43">
        <f t="shared" si="15"/>
        <v>0</v>
      </c>
      <c r="BT137" s="43">
        <f t="shared" si="15"/>
        <v>0</v>
      </c>
      <c r="BU137" s="43">
        <f>SUM(tblSOW8[[#This Row],[P1]:[P12]])</f>
        <v>0</v>
      </c>
      <c r="BV137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37" s="43">
        <f>IFERROR(VLOOKUP(K137,[30]Parameters!BN:BW,10,0),0)</f>
        <v>0</v>
      </c>
      <c r="BX137" s="43">
        <f>SUM(tblSOW8[[#This Row],[Jan 2023 USD]:[Mar 2023 USD]])</f>
        <v>0</v>
      </c>
      <c r="BY137" s="43">
        <f>SUM(tblSOW8[[#This Row],[Apr 2023 USD]:[Jun 2023 USD]])</f>
        <v>0</v>
      </c>
      <c r="BZ137" s="43">
        <f>SUM(tblSOW8[[#This Row],[Jul 2023 USD]:[Sep 2023 USD]])</f>
        <v>0</v>
      </c>
      <c r="CA137" s="43">
        <f>SUM(tblSOW8[[#This Row],[Oct 2023 USD]:[Dec 2023 USD]])</f>
        <v>0</v>
      </c>
    </row>
    <row r="138" spans="1:79" s="36" customFormat="1">
      <c r="A138" s="5"/>
      <c r="B138" s="5"/>
      <c r="C138" s="5"/>
      <c r="D138" s="39"/>
      <c r="E138" s="40"/>
      <c r="F138" s="39"/>
      <c r="G138" s="5"/>
      <c r="H138" s="5"/>
      <c r="I138" s="3"/>
      <c r="J138" s="3"/>
      <c r="K138" s="3"/>
      <c r="L138" s="85"/>
      <c r="M138" s="45"/>
      <c r="N138" s="5"/>
      <c r="O138" s="3"/>
      <c r="P138" s="8"/>
      <c r="Q138" s="8"/>
      <c r="R138" s="5"/>
      <c r="S138" s="5"/>
      <c r="T138" s="3"/>
      <c r="U138" s="116"/>
      <c r="V138" s="3"/>
      <c r="W138" s="3"/>
      <c r="X138" s="5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>
        <f t="shared" si="15"/>
        <v>0</v>
      </c>
      <c r="BQ138" s="43">
        <f t="shared" si="15"/>
        <v>0</v>
      </c>
      <c r="BR138" s="43">
        <f t="shared" si="15"/>
        <v>0</v>
      </c>
      <c r="BS138" s="43">
        <f t="shared" si="15"/>
        <v>0</v>
      </c>
      <c r="BT138" s="43">
        <f t="shared" si="15"/>
        <v>0</v>
      </c>
      <c r="BU138" s="43">
        <f>SUM(tblSOW8[[#This Row],[P1]:[P12]])</f>
        <v>0</v>
      </c>
      <c r="BV138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38" s="43">
        <f>IFERROR(VLOOKUP(K138,[30]Parameters!BN:BW,10,0),0)</f>
        <v>0</v>
      </c>
      <c r="BX138" s="43">
        <f>SUM(tblSOW8[[#This Row],[Jan 2023 USD]:[Mar 2023 USD]])</f>
        <v>0</v>
      </c>
      <c r="BY138" s="43">
        <f>SUM(tblSOW8[[#This Row],[Apr 2023 USD]:[Jun 2023 USD]])</f>
        <v>0</v>
      </c>
      <c r="BZ138" s="43">
        <f>SUM(tblSOW8[[#This Row],[Jul 2023 USD]:[Sep 2023 USD]])</f>
        <v>0</v>
      </c>
      <c r="CA138" s="43">
        <f>SUM(tblSOW8[[#This Row],[Oct 2023 USD]:[Dec 2023 USD]])</f>
        <v>0</v>
      </c>
    </row>
    <row r="139" spans="1:79" s="36" customFormat="1">
      <c r="A139" s="5"/>
      <c r="B139" s="5"/>
      <c r="C139" s="5"/>
      <c r="D139" s="39"/>
      <c r="E139" s="40"/>
      <c r="F139" s="39"/>
      <c r="G139" s="5"/>
      <c r="H139" s="5"/>
      <c r="I139" s="3"/>
      <c r="J139" s="3"/>
      <c r="K139" s="3"/>
      <c r="L139" s="85"/>
      <c r="M139" s="45"/>
      <c r="N139" s="5"/>
      <c r="O139" s="3"/>
      <c r="P139" s="8"/>
      <c r="Q139" s="8"/>
      <c r="R139" s="5"/>
      <c r="S139" s="5"/>
      <c r="T139" s="3"/>
      <c r="U139" s="3"/>
      <c r="V139" s="3"/>
      <c r="W139" s="3"/>
      <c r="X139" s="5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>
        <f t="shared" si="15"/>
        <v>0</v>
      </c>
      <c r="BQ139" s="43">
        <f t="shared" si="15"/>
        <v>0</v>
      </c>
      <c r="BR139" s="43">
        <f t="shared" si="15"/>
        <v>0</v>
      </c>
      <c r="BS139" s="43">
        <f t="shared" si="15"/>
        <v>0</v>
      </c>
      <c r="BT139" s="43">
        <f t="shared" si="15"/>
        <v>0</v>
      </c>
      <c r="BU139" s="43">
        <f>SUM(tblSOW8[[#This Row],[P1]:[P12]])</f>
        <v>0</v>
      </c>
      <c r="BV139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39" s="43">
        <f>IFERROR(VLOOKUP(K139,[30]Parameters!BN:BW,10,0),0)</f>
        <v>0</v>
      </c>
      <c r="BX139" s="43">
        <f>SUM(tblSOW8[[#This Row],[Jan 2023 USD]:[Mar 2023 USD]])</f>
        <v>0</v>
      </c>
      <c r="BY139" s="43">
        <f>SUM(tblSOW8[[#This Row],[Apr 2023 USD]:[Jun 2023 USD]])</f>
        <v>0</v>
      </c>
      <c r="BZ139" s="43">
        <f>SUM(tblSOW8[[#This Row],[Jul 2023 USD]:[Sep 2023 USD]])</f>
        <v>0</v>
      </c>
      <c r="CA139" s="43">
        <f>SUM(tblSOW8[[#This Row],[Oct 2023 USD]:[Dec 2023 USD]])</f>
        <v>0</v>
      </c>
    </row>
    <row r="140" spans="1:79" s="36" customFormat="1">
      <c r="A140" s="5"/>
      <c r="B140" s="5"/>
      <c r="C140" s="5"/>
      <c r="D140" s="39"/>
      <c r="E140" s="40"/>
      <c r="F140" s="39"/>
      <c r="G140" s="5"/>
      <c r="H140" s="5"/>
      <c r="I140" s="3"/>
      <c r="J140" s="3"/>
      <c r="K140" s="3"/>
      <c r="L140" s="85"/>
      <c r="M140" s="45"/>
      <c r="N140" s="5"/>
      <c r="O140" s="3"/>
      <c r="P140" s="8"/>
      <c r="Q140" s="8"/>
      <c r="R140" s="5"/>
      <c r="S140" s="5"/>
      <c r="T140" s="3"/>
      <c r="U140" s="116"/>
      <c r="V140" s="3"/>
      <c r="W140" s="3"/>
      <c r="X140" s="5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>
        <f t="shared" si="15"/>
        <v>0</v>
      </c>
      <c r="BQ140" s="43">
        <f t="shared" si="15"/>
        <v>0</v>
      </c>
      <c r="BR140" s="43">
        <f t="shared" si="15"/>
        <v>0</v>
      </c>
      <c r="BS140" s="43">
        <f t="shared" si="15"/>
        <v>0</v>
      </c>
      <c r="BT140" s="43">
        <f t="shared" si="15"/>
        <v>0</v>
      </c>
      <c r="BU140" s="43">
        <f>SUM(tblSOW8[[#This Row],[P1]:[P12]])</f>
        <v>0</v>
      </c>
      <c r="BV140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40" s="43">
        <f>IFERROR(VLOOKUP(K140,[30]Parameters!BN:BW,10,0),0)</f>
        <v>0</v>
      </c>
      <c r="BX140" s="43">
        <f>SUM(tblSOW8[[#This Row],[Jan 2023 USD]:[Mar 2023 USD]])</f>
        <v>0</v>
      </c>
      <c r="BY140" s="43">
        <f>SUM(tblSOW8[[#This Row],[Apr 2023 USD]:[Jun 2023 USD]])</f>
        <v>0</v>
      </c>
      <c r="BZ140" s="43">
        <f>SUM(tblSOW8[[#This Row],[Jul 2023 USD]:[Sep 2023 USD]])</f>
        <v>0</v>
      </c>
      <c r="CA140" s="43">
        <f>SUM(tblSOW8[[#This Row],[Oct 2023 USD]:[Dec 2023 USD]])</f>
        <v>0</v>
      </c>
    </row>
    <row r="141" spans="1:79" s="36" customFormat="1">
      <c r="A141" s="5"/>
      <c r="B141" s="5"/>
      <c r="C141" s="5"/>
      <c r="D141" s="39"/>
      <c r="E141" s="40"/>
      <c r="F141" s="39"/>
      <c r="G141" s="5"/>
      <c r="H141" s="5"/>
      <c r="I141" s="3"/>
      <c r="J141" s="3"/>
      <c r="K141" s="3"/>
      <c r="L141" s="85"/>
      <c r="M141" s="45"/>
      <c r="N141" s="5"/>
      <c r="O141" s="3"/>
      <c r="P141" s="8"/>
      <c r="Q141" s="8"/>
      <c r="R141" s="5"/>
      <c r="S141" s="5"/>
      <c r="T141" s="3"/>
      <c r="U141" s="3"/>
      <c r="V141" s="3"/>
      <c r="W141" s="3"/>
      <c r="X141" s="5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>
        <f t="shared" si="15"/>
        <v>0</v>
      </c>
      <c r="BQ141" s="43">
        <f t="shared" si="15"/>
        <v>0</v>
      </c>
      <c r="BR141" s="43">
        <f t="shared" si="15"/>
        <v>0</v>
      </c>
      <c r="BS141" s="43">
        <f t="shared" si="15"/>
        <v>0</v>
      </c>
      <c r="BT141" s="43">
        <f t="shared" si="15"/>
        <v>0</v>
      </c>
      <c r="BU141" s="43">
        <f>SUM(tblSOW8[[#This Row],[P1]:[P12]])</f>
        <v>0</v>
      </c>
      <c r="BV141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41" s="43">
        <f>IFERROR(VLOOKUP(K141,[30]Parameters!BN:BW,10,0),0)</f>
        <v>0</v>
      </c>
      <c r="BX141" s="43">
        <f>SUM(tblSOW8[[#This Row],[Jan 2023 USD]:[Mar 2023 USD]])</f>
        <v>0</v>
      </c>
      <c r="BY141" s="43">
        <f>SUM(tblSOW8[[#This Row],[Apr 2023 USD]:[Jun 2023 USD]])</f>
        <v>0</v>
      </c>
      <c r="BZ141" s="43">
        <f>SUM(tblSOW8[[#This Row],[Jul 2023 USD]:[Sep 2023 USD]])</f>
        <v>0</v>
      </c>
      <c r="CA141" s="43">
        <f>SUM(tblSOW8[[#This Row],[Oct 2023 USD]:[Dec 2023 USD]])</f>
        <v>0</v>
      </c>
    </row>
    <row r="142" spans="1:79" s="36" customFormat="1">
      <c r="A142" s="5"/>
      <c r="B142" s="5"/>
      <c r="C142" s="5"/>
      <c r="D142" s="39"/>
      <c r="E142" s="40"/>
      <c r="F142" s="39"/>
      <c r="G142" s="5"/>
      <c r="H142" s="5"/>
      <c r="I142" s="3"/>
      <c r="J142" s="3"/>
      <c r="K142" s="3"/>
      <c r="L142" s="85"/>
      <c r="M142" s="45"/>
      <c r="N142" s="5"/>
      <c r="O142" s="3"/>
      <c r="P142" s="8"/>
      <c r="Q142" s="8"/>
      <c r="R142" s="5"/>
      <c r="S142" s="5"/>
      <c r="T142" s="3"/>
      <c r="U142" s="116"/>
      <c r="V142" s="3"/>
      <c r="W142" s="3"/>
      <c r="X142" s="5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>
        <f t="shared" si="15"/>
        <v>0</v>
      </c>
      <c r="BQ142" s="43">
        <f t="shared" si="15"/>
        <v>0</v>
      </c>
      <c r="BR142" s="43">
        <f t="shared" si="15"/>
        <v>0</v>
      </c>
      <c r="BS142" s="43">
        <f t="shared" si="15"/>
        <v>0</v>
      </c>
      <c r="BT142" s="43">
        <f t="shared" si="15"/>
        <v>0</v>
      </c>
      <c r="BU142" s="43">
        <f>SUM(tblSOW8[[#This Row],[P1]:[P12]])</f>
        <v>0</v>
      </c>
      <c r="BV142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42" s="43">
        <f>IFERROR(VLOOKUP(K142,[30]Parameters!BN:BW,10,0),0)</f>
        <v>0</v>
      </c>
      <c r="BX142" s="43">
        <f>SUM(tblSOW8[[#This Row],[Jan 2023 USD]:[Mar 2023 USD]])</f>
        <v>0</v>
      </c>
      <c r="BY142" s="43">
        <f>SUM(tblSOW8[[#This Row],[Apr 2023 USD]:[Jun 2023 USD]])</f>
        <v>0</v>
      </c>
      <c r="BZ142" s="43">
        <f>SUM(tblSOW8[[#This Row],[Jul 2023 USD]:[Sep 2023 USD]])</f>
        <v>0</v>
      </c>
      <c r="CA142" s="43">
        <f>SUM(tblSOW8[[#This Row],[Oct 2023 USD]:[Dec 2023 USD]])</f>
        <v>0</v>
      </c>
    </row>
    <row r="143" spans="1:79" s="36" customFormat="1">
      <c r="A143" s="5"/>
      <c r="B143" s="5"/>
      <c r="C143" s="5"/>
      <c r="D143" s="39"/>
      <c r="E143" s="40"/>
      <c r="F143" s="39"/>
      <c r="G143" s="5"/>
      <c r="H143" s="5"/>
      <c r="I143" s="3"/>
      <c r="J143" s="3"/>
      <c r="K143" s="3"/>
      <c r="L143" s="85"/>
      <c r="M143" s="45"/>
      <c r="N143" s="5"/>
      <c r="O143" s="3"/>
      <c r="P143" s="8"/>
      <c r="Q143" s="8"/>
      <c r="R143" s="5"/>
      <c r="S143" s="5"/>
      <c r="T143" s="3"/>
      <c r="U143" s="3"/>
      <c r="V143" s="3"/>
      <c r="W143" s="3"/>
      <c r="X143" s="5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>
        <f t="shared" si="15"/>
        <v>0</v>
      </c>
      <c r="BQ143" s="43">
        <f t="shared" si="15"/>
        <v>0</v>
      </c>
      <c r="BR143" s="43">
        <f t="shared" si="15"/>
        <v>0</v>
      </c>
      <c r="BS143" s="43">
        <f t="shared" si="15"/>
        <v>0</v>
      </c>
      <c r="BT143" s="43">
        <f t="shared" si="15"/>
        <v>0</v>
      </c>
      <c r="BU143" s="43">
        <f>SUM(tblSOW8[[#This Row],[P1]:[P12]])</f>
        <v>0</v>
      </c>
      <c r="BV143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43" s="43">
        <f>IFERROR(VLOOKUP(K143,[30]Parameters!BN:BW,10,0),0)</f>
        <v>0</v>
      </c>
      <c r="BX143" s="43">
        <f>SUM(tblSOW8[[#This Row],[Jan 2023 USD]:[Mar 2023 USD]])</f>
        <v>0</v>
      </c>
      <c r="BY143" s="43">
        <f>SUM(tblSOW8[[#This Row],[Apr 2023 USD]:[Jun 2023 USD]])</f>
        <v>0</v>
      </c>
      <c r="BZ143" s="43">
        <f>SUM(tblSOW8[[#This Row],[Jul 2023 USD]:[Sep 2023 USD]])</f>
        <v>0</v>
      </c>
      <c r="CA143" s="43">
        <f>SUM(tblSOW8[[#This Row],[Oct 2023 USD]:[Dec 2023 USD]])</f>
        <v>0</v>
      </c>
    </row>
    <row r="144" spans="1:79" s="36" customFormat="1">
      <c r="A144" s="5"/>
      <c r="B144" s="5"/>
      <c r="C144" s="5"/>
      <c r="D144" s="39"/>
      <c r="E144" s="40"/>
      <c r="F144" s="39"/>
      <c r="G144" s="5"/>
      <c r="H144" s="5"/>
      <c r="I144" s="3"/>
      <c r="J144" s="3"/>
      <c r="K144" s="3"/>
      <c r="L144" s="85"/>
      <c r="M144" s="45"/>
      <c r="N144" s="5"/>
      <c r="O144" s="3"/>
      <c r="P144" s="8"/>
      <c r="Q144" s="8"/>
      <c r="R144" s="5"/>
      <c r="S144" s="5"/>
      <c r="T144" s="3"/>
      <c r="U144" s="116"/>
      <c r="V144" s="3"/>
      <c r="W144" s="3"/>
      <c r="X144" s="5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>
        <f t="shared" si="15"/>
        <v>0</v>
      </c>
      <c r="BQ144" s="43">
        <f t="shared" si="15"/>
        <v>0</v>
      </c>
      <c r="BR144" s="43">
        <f t="shared" si="15"/>
        <v>0</v>
      </c>
      <c r="BS144" s="43">
        <f t="shared" si="15"/>
        <v>0</v>
      </c>
      <c r="BT144" s="43">
        <f t="shared" si="15"/>
        <v>0</v>
      </c>
      <c r="BU144" s="43">
        <f>SUM(tblSOW8[[#This Row],[P1]:[P12]])</f>
        <v>0</v>
      </c>
      <c r="BV144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44" s="43">
        <f>IFERROR(VLOOKUP(K144,[30]Parameters!BN:BW,10,0),0)</f>
        <v>0</v>
      </c>
      <c r="BX144" s="43">
        <f>SUM(tblSOW8[[#This Row],[Jan 2023 USD]:[Mar 2023 USD]])</f>
        <v>0</v>
      </c>
      <c r="BY144" s="43">
        <f>SUM(tblSOW8[[#This Row],[Apr 2023 USD]:[Jun 2023 USD]])</f>
        <v>0</v>
      </c>
      <c r="BZ144" s="43">
        <f>SUM(tblSOW8[[#This Row],[Jul 2023 USD]:[Sep 2023 USD]])</f>
        <v>0</v>
      </c>
      <c r="CA144" s="43">
        <f>SUM(tblSOW8[[#This Row],[Oct 2023 USD]:[Dec 2023 USD]])</f>
        <v>0</v>
      </c>
    </row>
    <row r="145" spans="1:79" s="36" customFormat="1">
      <c r="A145" s="5"/>
      <c r="B145" s="5"/>
      <c r="C145" s="5"/>
      <c r="D145" s="39"/>
      <c r="E145" s="40"/>
      <c r="F145" s="39"/>
      <c r="G145" s="5"/>
      <c r="H145" s="5"/>
      <c r="I145" s="3"/>
      <c r="J145" s="3"/>
      <c r="K145" s="3"/>
      <c r="L145" s="85"/>
      <c r="M145" s="45"/>
      <c r="N145" s="5"/>
      <c r="O145" s="3"/>
      <c r="P145" s="8"/>
      <c r="Q145" s="8"/>
      <c r="R145" s="5"/>
      <c r="S145" s="5"/>
      <c r="T145" s="3"/>
      <c r="U145" s="3"/>
      <c r="V145" s="3"/>
      <c r="W145" s="3"/>
      <c r="X145" s="5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>
        <f t="shared" si="15"/>
        <v>0</v>
      </c>
      <c r="BQ145" s="43">
        <f t="shared" si="15"/>
        <v>0</v>
      </c>
      <c r="BR145" s="43">
        <f t="shared" si="15"/>
        <v>0</v>
      </c>
      <c r="BS145" s="43">
        <f t="shared" si="15"/>
        <v>0</v>
      </c>
      <c r="BT145" s="43">
        <f t="shared" si="15"/>
        <v>0</v>
      </c>
      <c r="BU145" s="43">
        <f>SUM(tblSOW8[[#This Row],[P1]:[P12]])</f>
        <v>0</v>
      </c>
      <c r="BV145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45" s="43">
        <f>IFERROR(VLOOKUP(K145,[30]Parameters!BN:BW,10,0),0)</f>
        <v>0</v>
      </c>
      <c r="BX145" s="43">
        <f>SUM(tblSOW8[[#This Row],[Jan 2023 USD]:[Mar 2023 USD]])</f>
        <v>0</v>
      </c>
      <c r="BY145" s="43">
        <f>SUM(tblSOW8[[#This Row],[Apr 2023 USD]:[Jun 2023 USD]])</f>
        <v>0</v>
      </c>
      <c r="BZ145" s="43">
        <f>SUM(tblSOW8[[#This Row],[Jul 2023 USD]:[Sep 2023 USD]])</f>
        <v>0</v>
      </c>
      <c r="CA145" s="43">
        <f>SUM(tblSOW8[[#This Row],[Oct 2023 USD]:[Dec 2023 USD]])</f>
        <v>0</v>
      </c>
    </row>
    <row r="146" spans="1:79" s="36" customFormat="1">
      <c r="A146" s="5"/>
      <c r="B146" s="5"/>
      <c r="C146" s="5"/>
      <c r="D146" s="39"/>
      <c r="E146" s="40"/>
      <c r="F146" s="39"/>
      <c r="G146" s="5"/>
      <c r="H146" s="5"/>
      <c r="I146" s="3"/>
      <c r="J146" s="3"/>
      <c r="K146" s="3"/>
      <c r="L146" s="85"/>
      <c r="M146" s="45"/>
      <c r="N146" s="5"/>
      <c r="O146" s="3"/>
      <c r="P146" s="8"/>
      <c r="Q146" s="8"/>
      <c r="R146" s="5"/>
      <c r="S146" s="5"/>
      <c r="T146" s="3"/>
      <c r="U146" s="116"/>
      <c r="V146" s="3"/>
      <c r="W146" s="3"/>
      <c r="X146" s="5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>
        <f t="shared" si="15"/>
        <v>0</v>
      </c>
      <c r="BQ146" s="43">
        <f t="shared" si="15"/>
        <v>0</v>
      </c>
      <c r="BR146" s="43">
        <f t="shared" si="15"/>
        <v>0</v>
      </c>
      <c r="BS146" s="43">
        <f t="shared" si="15"/>
        <v>0</v>
      </c>
      <c r="BT146" s="43">
        <f t="shared" si="15"/>
        <v>0</v>
      </c>
      <c r="BU146" s="43">
        <f>SUM(tblSOW8[[#This Row],[P1]:[P12]])</f>
        <v>0</v>
      </c>
      <c r="BV146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46" s="43">
        <f>IFERROR(VLOOKUP(K146,[30]Parameters!BN:BW,10,0),0)</f>
        <v>0</v>
      </c>
      <c r="BX146" s="43">
        <f>SUM(tblSOW8[[#This Row],[Jan 2023 USD]:[Mar 2023 USD]])</f>
        <v>0</v>
      </c>
      <c r="BY146" s="43">
        <f>SUM(tblSOW8[[#This Row],[Apr 2023 USD]:[Jun 2023 USD]])</f>
        <v>0</v>
      </c>
      <c r="BZ146" s="43">
        <f>SUM(tblSOW8[[#This Row],[Jul 2023 USD]:[Sep 2023 USD]])</f>
        <v>0</v>
      </c>
      <c r="CA146" s="43">
        <f>SUM(tblSOW8[[#This Row],[Oct 2023 USD]:[Dec 2023 USD]])</f>
        <v>0</v>
      </c>
    </row>
    <row r="147" spans="1:79" s="36" customFormat="1">
      <c r="A147" s="5"/>
      <c r="B147" s="5"/>
      <c r="C147" s="5"/>
      <c r="D147" s="39"/>
      <c r="E147" s="40"/>
      <c r="F147" s="39"/>
      <c r="G147" s="5"/>
      <c r="H147" s="5"/>
      <c r="I147" s="3"/>
      <c r="J147" s="3"/>
      <c r="K147" s="3"/>
      <c r="L147" s="85"/>
      <c r="M147" s="45"/>
      <c r="N147" s="5"/>
      <c r="O147" s="3"/>
      <c r="P147" s="8"/>
      <c r="Q147" s="8"/>
      <c r="R147" s="5"/>
      <c r="S147" s="5"/>
      <c r="T147" s="3"/>
      <c r="U147" s="3"/>
      <c r="V147" s="3"/>
      <c r="W147" s="3"/>
      <c r="X147" s="5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>
        <f t="shared" si="15"/>
        <v>0</v>
      </c>
      <c r="BQ147" s="43">
        <f t="shared" si="15"/>
        <v>0</v>
      </c>
      <c r="BR147" s="43">
        <f t="shared" si="15"/>
        <v>0</v>
      </c>
      <c r="BS147" s="43">
        <f t="shared" si="15"/>
        <v>0</v>
      </c>
      <c r="BT147" s="43">
        <f t="shared" si="15"/>
        <v>0</v>
      </c>
      <c r="BU147" s="43">
        <f>SUM(tblSOW8[[#This Row],[P1]:[P12]])</f>
        <v>0</v>
      </c>
      <c r="BV147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47" s="43">
        <f>IFERROR(VLOOKUP(K147,[30]Parameters!BN:BW,10,0),0)</f>
        <v>0</v>
      </c>
      <c r="BX147" s="43">
        <f>SUM(tblSOW8[[#This Row],[Jan 2023 USD]:[Mar 2023 USD]])</f>
        <v>0</v>
      </c>
      <c r="BY147" s="43">
        <f>SUM(tblSOW8[[#This Row],[Apr 2023 USD]:[Jun 2023 USD]])</f>
        <v>0</v>
      </c>
      <c r="BZ147" s="43">
        <f>SUM(tblSOW8[[#This Row],[Jul 2023 USD]:[Sep 2023 USD]])</f>
        <v>0</v>
      </c>
      <c r="CA147" s="43">
        <f>SUM(tblSOW8[[#This Row],[Oct 2023 USD]:[Dec 2023 USD]])</f>
        <v>0</v>
      </c>
    </row>
    <row r="148" spans="1:79" s="36" customFormat="1">
      <c r="A148" s="5"/>
      <c r="B148" s="5"/>
      <c r="C148" s="5"/>
      <c r="D148" s="39"/>
      <c r="E148" s="40"/>
      <c r="F148" s="39"/>
      <c r="G148" s="5"/>
      <c r="H148" s="5"/>
      <c r="I148" s="3"/>
      <c r="J148" s="3"/>
      <c r="K148" s="3"/>
      <c r="L148" s="85"/>
      <c r="M148" s="45"/>
      <c r="N148" s="5"/>
      <c r="O148" s="3"/>
      <c r="P148" s="8"/>
      <c r="Q148" s="8"/>
      <c r="R148" s="5"/>
      <c r="S148" s="5"/>
      <c r="T148" s="3"/>
      <c r="U148" s="116"/>
      <c r="V148" s="3"/>
      <c r="W148" s="3"/>
      <c r="X148" s="5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>
        <f t="shared" si="15"/>
        <v>0</v>
      </c>
      <c r="BQ148" s="43">
        <f t="shared" si="15"/>
        <v>0</v>
      </c>
      <c r="BR148" s="43">
        <f t="shared" si="15"/>
        <v>0</v>
      </c>
      <c r="BS148" s="43">
        <f t="shared" si="15"/>
        <v>0</v>
      </c>
      <c r="BT148" s="43">
        <f t="shared" si="15"/>
        <v>0</v>
      </c>
      <c r="BU148" s="43">
        <f>SUM(tblSOW8[[#This Row],[P1]:[P12]])</f>
        <v>0</v>
      </c>
      <c r="BV148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48" s="43">
        <f>IFERROR(VLOOKUP(K148,[30]Parameters!BN:BW,10,0),0)</f>
        <v>0</v>
      </c>
      <c r="BX148" s="43">
        <f>SUM(tblSOW8[[#This Row],[Jan 2023 USD]:[Mar 2023 USD]])</f>
        <v>0</v>
      </c>
      <c r="BY148" s="43">
        <f>SUM(tblSOW8[[#This Row],[Apr 2023 USD]:[Jun 2023 USD]])</f>
        <v>0</v>
      </c>
      <c r="BZ148" s="43">
        <f>SUM(tblSOW8[[#This Row],[Jul 2023 USD]:[Sep 2023 USD]])</f>
        <v>0</v>
      </c>
      <c r="CA148" s="43">
        <f>SUM(tblSOW8[[#This Row],[Oct 2023 USD]:[Dec 2023 USD]])</f>
        <v>0</v>
      </c>
    </row>
    <row r="149" spans="1:79" s="36" customFormat="1">
      <c r="A149" s="5"/>
      <c r="B149" s="5"/>
      <c r="C149" s="5"/>
      <c r="D149" s="39"/>
      <c r="E149" s="40"/>
      <c r="F149" s="39"/>
      <c r="G149" s="5"/>
      <c r="H149" s="5"/>
      <c r="I149" s="3"/>
      <c r="J149" s="3"/>
      <c r="K149" s="3"/>
      <c r="L149" s="85"/>
      <c r="M149" s="45"/>
      <c r="N149" s="5"/>
      <c r="O149" s="3"/>
      <c r="P149" s="8"/>
      <c r="Q149" s="8"/>
      <c r="R149" s="5"/>
      <c r="S149" s="5"/>
      <c r="T149" s="3"/>
      <c r="U149" s="3"/>
      <c r="V149" s="3"/>
      <c r="W149" s="3"/>
      <c r="X149" s="5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>
        <f t="shared" si="15"/>
        <v>0</v>
      </c>
      <c r="BQ149" s="43">
        <f t="shared" si="15"/>
        <v>0</v>
      </c>
      <c r="BR149" s="43">
        <f t="shared" si="15"/>
        <v>0</v>
      </c>
      <c r="BS149" s="43">
        <f t="shared" si="15"/>
        <v>0</v>
      </c>
      <c r="BT149" s="43">
        <f t="shared" si="15"/>
        <v>0</v>
      </c>
      <c r="BU149" s="43">
        <f>SUM(tblSOW8[[#This Row],[P1]:[P12]])</f>
        <v>0</v>
      </c>
      <c r="BV149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49" s="43">
        <f>IFERROR(VLOOKUP(K149,[30]Parameters!BN:BW,10,0),0)</f>
        <v>0</v>
      </c>
      <c r="BX149" s="43">
        <f>SUM(tblSOW8[[#This Row],[Jan 2023 USD]:[Mar 2023 USD]])</f>
        <v>0</v>
      </c>
      <c r="BY149" s="43">
        <f>SUM(tblSOW8[[#This Row],[Apr 2023 USD]:[Jun 2023 USD]])</f>
        <v>0</v>
      </c>
      <c r="BZ149" s="43">
        <f>SUM(tblSOW8[[#This Row],[Jul 2023 USD]:[Sep 2023 USD]])</f>
        <v>0</v>
      </c>
      <c r="CA149" s="43">
        <f>SUM(tblSOW8[[#This Row],[Oct 2023 USD]:[Dec 2023 USD]])</f>
        <v>0</v>
      </c>
    </row>
    <row r="150" spans="1:79" s="36" customFormat="1">
      <c r="A150" s="5"/>
      <c r="B150" s="5"/>
      <c r="C150" s="5"/>
      <c r="D150" s="39"/>
      <c r="E150" s="40"/>
      <c r="F150" s="39"/>
      <c r="G150" s="5"/>
      <c r="H150" s="5"/>
      <c r="I150" s="3"/>
      <c r="J150" s="3"/>
      <c r="K150" s="3"/>
      <c r="L150" s="85"/>
      <c r="M150" s="45"/>
      <c r="N150" s="5"/>
      <c r="O150" s="3"/>
      <c r="P150" s="8"/>
      <c r="Q150" s="8"/>
      <c r="R150" s="5"/>
      <c r="S150" s="5"/>
      <c r="T150" s="3"/>
      <c r="U150" s="116"/>
      <c r="V150" s="3"/>
      <c r="W150" s="3"/>
      <c r="X150" s="5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>
        <f t="shared" si="15"/>
        <v>0</v>
      </c>
      <c r="BQ150" s="43">
        <f t="shared" si="15"/>
        <v>0</v>
      </c>
      <c r="BR150" s="43">
        <f t="shared" si="15"/>
        <v>0</v>
      </c>
      <c r="BS150" s="43">
        <f t="shared" si="15"/>
        <v>0</v>
      </c>
      <c r="BT150" s="43">
        <f t="shared" si="15"/>
        <v>0</v>
      </c>
      <c r="BU150" s="43">
        <f>SUM(tblSOW8[[#This Row],[P1]:[P12]])</f>
        <v>0</v>
      </c>
      <c r="BV150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50" s="43">
        <f>IFERROR(VLOOKUP(K150,[30]Parameters!BN:BW,10,0),0)</f>
        <v>0</v>
      </c>
      <c r="BX150" s="43">
        <f>SUM(tblSOW8[[#This Row],[Jan 2023 USD]:[Mar 2023 USD]])</f>
        <v>0</v>
      </c>
      <c r="BY150" s="43">
        <f>SUM(tblSOW8[[#This Row],[Apr 2023 USD]:[Jun 2023 USD]])</f>
        <v>0</v>
      </c>
      <c r="BZ150" s="43">
        <f>SUM(tblSOW8[[#This Row],[Jul 2023 USD]:[Sep 2023 USD]])</f>
        <v>0</v>
      </c>
      <c r="CA150" s="43">
        <f>SUM(tblSOW8[[#This Row],[Oct 2023 USD]:[Dec 2023 USD]])</f>
        <v>0</v>
      </c>
    </row>
    <row r="151" spans="1:79" s="36" customFormat="1">
      <c r="A151" s="5"/>
      <c r="B151" s="5"/>
      <c r="C151" s="5"/>
      <c r="D151" s="39"/>
      <c r="E151" s="40"/>
      <c r="F151" s="39"/>
      <c r="G151" s="5"/>
      <c r="H151" s="5"/>
      <c r="I151" s="3"/>
      <c r="J151" s="3"/>
      <c r="K151" s="3"/>
      <c r="L151" s="85"/>
      <c r="M151" s="45"/>
      <c r="N151" s="5"/>
      <c r="O151" s="3"/>
      <c r="P151" s="8"/>
      <c r="Q151" s="8"/>
      <c r="R151" s="5"/>
      <c r="S151" s="5"/>
      <c r="T151" s="3"/>
      <c r="U151" s="116"/>
      <c r="V151" s="3"/>
      <c r="W151" s="3"/>
      <c r="X151" s="5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>
        <f t="shared" ref="BP151:BT182" si="16">IF($S151&gt;0,IF(AND(MONTH($P151)&lt;=BP$1,MONTH($Q151)&gt;=BP$1),1,0),0)</f>
        <v>0</v>
      </c>
      <c r="BQ151" s="43">
        <f t="shared" si="16"/>
        <v>0</v>
      </c>
      <c r="BR151" s="43">
        <f t="shared" si="16"/>
        <v>0</v>
      </c>
      <c r="BS151" s="43">
        <f t="shared" si="16"/>
        <v>0</v>
      </c>
      <c r="BT151" s="43">
        <f t="shared" si="16"/>
        <v>0</v>
      </c>
      <c r="BU151" s="43">
        <f>SUM(tblSOW8[[#This Row],[P1]:[P12]])</f>
        <v>0</v>
      </c>
      <c r="BV151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51" s="43">
        <f>IFERROR(VLOOKUP(K151,[30]Parameters!BN:BW,10,0),0)</f>
        <v>0</v>
      </c>
      <c r="BX151" s="43">
        <f>SUM(tblSOW8[[#This Row],[Jan 2023 USD]:[Mar 2023 USD]])</f>
        <v>0</v>
      </c>
      <c r="BY151" s="43">
        <f>SUM(tblSOW8[[#This Row],[Apr 2023 USD]:[Jun 2023 USD]])</f>
        <v>0</v>
      </c>
      <c r="BZ151" s="43">
        <f>SUM(tblSOW8[[#This Row],[Jul 2023 USD]:[Sep 2023 USD]])</f>
        <v>0</v>
      </c>
      <c r="CA151" s="43">
        <f>SUM(tblSOW8[[#This Row],[Oct 2023 USD]:[Dec 2023 USD]])</f>
        <v>0</v>
      </c>
    </row>
    <row r="152" spans="1:79" s="36" customFormat="1">
      <c r="A152" s="5"/>
      <c r="B152" s="5"/>
      <c r="C152" s="5"/>
      <c r="D152" s="39"/>
      <c r="E152" s="40"/>
      <c r="F152" s="39"/>
      <c r="G152" s="5"/>
      <c r="H152" s="5"/>
      <c r="I152" s="3"/>
      <c r="J152" s="3"/>
      <c r="K152" s="3"/>
      <c r="L152" s="85"/>
      <c r="M152" s="45"/>
      <c r="N152" s="5"/>
      <c r="O152" s="3"/>
      <c r="P152" s="8"/>
      <c r="Q152" s="8"/>
      <c r="R152" s="5"/>
      <c r="S152" s="5"/>
      <c r="T152" s="3"/>
      <c r="U152" s="3"/>
      <c r="V152" s="3"/>
      <c r="W152" s="3"/>
      <c r="X152" s="5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>
        <f t="shared" si="16"/>
        <v>0</v>
      </c>
      <c r="BQ152" s="43">
        <f t="shared" si="16"/>
        <v>0</v>
      </c>
      <c r="BR152" s="43">
        <f t="shared" si="16"/>
        <v>0</v>
      </c>
      <c r="BS152" s="43">
        <f t="shared" si="16"/>
        <v>0</v>
      </c>
      <c r="BT152" s="43">
        <f t="shared" si="16"/>
        <v>0</v>
      </c>
      <c r="BU152" s="43">
        <f>SUM(tblSOW8[[#This Row],[P1]:[P12]])</f>
        <v>0</v>
      </c>
      <c r="BV152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52" s="43">
        <f>IFERROR(VLOOKUP(K152,[30]Parameters!BN:BW,10,0),0)</f>
        <v>0</v>
      </c>
      <c r="BX152" s="43">
        <f>SUM(tblSOW8[[#This Row],[Jan 2023 USD]:[Mar 2023 USD]])</f>
        <v>0</v>
      </c>
      <c r="BY152" s="43">
        <f>SUM(tblSOW8[[#This Row],[Apr 2023 USD]:[Jun 2023 USD]])</f>
        <v>0</v>
      </c>
      <c r="BZ152" s="43">
        <f>SUM(tblSOW8[[#This Row],[Jul 2023 USD]:[Sep 2023 USD]])</f>
        <v>0</v>
      </c>
      <c r="CA152" s="43">
        <f>SUM(tblSOW8[[#This Row],[Oct 2023 USD]:[Dec 2023 USD]])</f>
        <v>0</v>
      </c>
    </row>
    <row r="153" spans="1:79" s="36" customFormat="1">
      <c r="A153" s="5"/>
      <c r="B153" s="5"/>
      <c r="C153" s="5"/>
      <c r="D153" s="39"/>
      <c r="E153" s="40"/>
      <c r="F153" s="39"/>
      <c r="G153" s="5"/>
      <c r="H153" s="5"/>
      <c r="I153" s="3"/>
      <c r="J153" s="3"/>
      <c r="K153" s="3"/>
      <c r="L153" s="85"/>
      <c r="M153" s="45"/>
      <c r="N153" s="5"/>
      <c r="O153" s="3"/>
      <c r="P153" s="8"/>
      <c r="Q153" s="8"/>
      <c r="R153" s="5"/>
      <c r="S153" s="5"/>
      <c r="T153" s="3"/>
      <c r="U153" s="116"/>
      <c r="V153" s="3"/>
      <c r="W153" s="3"/>
      <c r="X153" s="5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>
        <f t="shared" si="16"/>
        <v>0</v>
      </c>
      <c r="BQ153" s="43">
        <f t="shared" si="16"/>
        <v>0</v>
      </c>
      <c r="BR153" s="43">
        <f t="shared" si="16"/>
        <v>0</v>
      </c>
      <c r="BS153" s="43">
        <f t="shared" si="16"/>
        <v>0</v>
      </c>
      <c r="BT153" s="43">
        <f t="shared" si="16"/>
        <v>0</v>
      </c>
      <c r="BU153" s="43">
        <f>SUM(tblSOW8[[#This Row],[P1]:[P12]])</f>
        <v>0</v>
      </c>
      <c r="BV153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53" s="43">
        <f>IFERROR(VLOOKUP(K153,[30]Parameters!BN:BW,10,0),0)</f>
        <v>0</v>
      </c>
      <c r="BX153" s="43">
        <f>SUM(tblSOW8[[#This Row],[Jan 2023 USD]:[Mar 2023 USD]])</f>
        <v>0</v>
      </c>
      <c r="BY153" s="43">
        <f>SUM(tblSOW8[[#This Row],[Apr 2023 USD]:[Jun 2023 USD]])</f>
        <v>0</v>
      </c>
      <c r="BZ153" s="43">
        <f>SUM(tblSOW8[[#This Row],[Jul 2023 USD]:[Sep 2023 USD]])</f>
        <v>0</v>
      </c>
      <c r="CA153" s="43">
        <f>SUM(tblSOW8[[#This Row],[Oct 2023 USD]:[Dec 2023 USD]])</f>
        <v>0</v>
      </c>
    </row>
    <row r="154" spans="1:79" s="36" customFormat="1">
      <c r="A154" s="5"/>
      <c r="B154" s="5"/>
      <c r="C154" s="5"/>
      <c r="D154" s="39"/>
      <c r="E154" s="40"/>
      <c r="F154" s="39"/>
      <c r="G154" s="5"/>
      <c r="H154" s="5"/>
      <c r="I154" s="3"/>
      <c r="J154" s="3"/>
      <c r="K154" s="3"/>
      <c r="L154" s="85"/>
      <c r="M154" s="45"/>
      <c r="N154" s="5"/>
      <c r="O154" s="3"/>
      <c r="P154" s="8"/>
      <c r="Q154" s="8"/>
      <c r="R154" s="5"/>
      <c r="S154" s="5"/>
      <c r="T154" s="3"/>
      <c r="U154" s="3"/>
      <c r="V154" s="3"/>
      <c r="W154" s="3"/>
      <c r="X154" s="5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>
        <f t="shared" si="16"/>
        <v>0</v>
      </c>
      <c r="BQ154" s="43">
        <f t="shared" si="16"/>
        <v>0</v>
      </c>
      <c r="BR154" s="43">
        <f t="shared" si="16"/>
        <v>0</v>
      </c>
      <c r="BS154" s="43">
        <f t="shared" si="16"/>
        <v>0</v>
      </c>
      <c r="BT154" s="43">
        <f t="shared" si="16"/>
        <v>0</v>
      </c>
      <c r="BU154" s="43">
        <f>SUM(tblSOW8[[#This Row],[P1]:[P12]])</f>
        <v>0</v>
      </c>
      <c r="BV154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54" s="43">
        <f>IFERROR(VLOOKUP(K154,[30]Parameters!BN:BW,10,0),0)</f>
        <v>0</v>
      </c>
      <c r="BX154" s="43">
        <f>SUM(tblSOW8[[#This Row],[Jan 2023 USD]:[Mar 2023 USD]])</f>
        <v>0</v>
      </c>
      <c r="BY154" s="43">
        <f>SUM(tblSOW8[[#This Row],[Apr 2023 USD]:[Jun 2023 USD]])</f>
        <v>0</v>
      </c>
      <c r="BZ154" s="43">
        <f>SUM(tblSOW8[[#This Row],[Jul 2023 USD]:[Sep 2023 USD]])</f>
        <v>0</v>
      </c>
      <c r="CA154" s="43">
        <f>SUM(tblSOW8[[#This Row],[Oct 2023 USD]:[Dec 2023 USD]])</f>
        <v>0</v>
      </c>
    </row>
    <row r="155" spans="1:79" s="36" customFormat="1">
      <c r="A155" s="5"/>
      <c r="B155" s="5"/>
      <c r="C155" s="5"/>
      <c r="D155" s="39"/>
      <c r="E155" s="40"/>
      <c r="F155" s="39"/>
      <c r="G155" s="5"/>
      <c r="H155" s="5"/>
      <c r="I155" s="3"/>
      <c r="J155" s="3"/>
      <c r="K155" s="3"/>
      <c r="L155" s="85"/>
      <c r="M155" s="45"/>
      <c r="N155" s="5"/>
      <c r="O155" s="3"/>
      <c r="P155" s="8"/>
      <c r="Q155" s="8"/>
      <c r="R155" s="5"/>
      <c r="S155" s="5"/>
      <c r="T155" s="3"/>
      <c r="U155" s="116"/>
      <c r="V155" s="3"/>
      <c r="W155" s="3"/>
      <c r="X155" s="5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>
        <f t="shared" si="16"/>
        <v>0</v>
      </c>
      <c r="BQ155" s="43">
        <f t="shared" si="16"/>
        <v>0</v>
      </c>
      <c r="BR155" s="43">
        <f t="shared" si="16"/>
        <v>0</v>
      </c>
      <c r="BS155" s="43">
        <f t="shared" si="16"/>
        <v>0</v>
      </c>
      <c r="BT155" s="43">
        <f t="shared" si="16"/>
        <v>0</v>
      </c>
      <c r="BU155" s="43">
        <f>SUM(tblSOW8[[#This Row],[P1]:[P12]])</f>
        <v>0</v>
      </c>
      <c r="BV155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55" s="43">
        <f>IFERROR(VLOOKUP(K155,[30]Parameters!BN:BW,10,0),0)</f>
        <v>0</v>
      </c>
      <c r="BX155" s="43">
        <f>SUM(tblSOW8[[#This Row],[Jan 2023 USD]:[Mar 2023 USD]])</f>
        <v>0</v>
      </c>
      <c r="BY155" s="43">
        <f>SUM(tblSOW8[[#This Row],[Apr 2023 USD]:[Jun 2023 USD]])</f>
        <v>0</v>
      </c>
      <c r="BZ155" s="43">
        <f>SUM(tblSOW8[[#This Row],[Jul 2023 USD]:[Sep 2023 USD]])</f>
        <v>0</v>
      </c>
      <c r="CA155" s="43">
        <f>SUM(tblSOW8[[#This Row],[Oct 2023 USD]:[Dec 2023 USD]])</f>
        <v>0</v>
      </c>
    </row>
    <row r="156" spans="1:79" s="36" customFormat="1">
      <c r="A156" s="5"/>
      <c r="B156" s="5"/>
      <c r="C156" s="5"/>
      <c r="D156" s="39"/>
      <c r="E156" s="40"/>
      <c r="F156" s="39"/>
      <c r="G156" s="5"/>
      <c r="H156" s="5"/>
      <c r="I156" s="3"/>
      <c r="J156" s="3"/>
      <c r="K156" s="3"/>
      <c r="L156" s="85"/>
      <c r="M156" s="45"/>
      <c r="N156" s="5"/>
      <c r="O156" s="3"/>
      <c r="P156" s="8"/>
      <c r="Q156" s="8"/>
      <c r="R156" s="5"/>
      <c r="S156" s="5"/>
      <c r="T156" s="3"/>
      <c r="U156" s="3"/>
      <c r="V156" s="3"/>
      <c r="W156" s="3"/>
      <c r="X156" s="5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>
        <f t="shared" si="16"/>
        <v>0</v>
      </c>
      <c r="BQ156" s="43">
        <f t="shared" si="16"/>
        <v>0</v>
      </c>
      <c r="BR156" s="43">
        <f t="shared" si="16"/>
        <v>0</v>
      </c>
      <c r="BS156" s="43">
        <f t="shared" si="16"/>
        <v>0</v>
      </c>
      <c r="BT156" s="43">
        <f t="shared" si="16"/>
        <v>0</v>
      </c>
      <c r="BU156" s="43">
        <f>SUM(tblSOW8[[#This Row],[P1]:[P12]])</f>
        <v>0</v>
      </c>
      <c r="BV156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56" s="43">
        <f>IFERROR(VLOOKUP(K156,[30]Parameters!BN:BW,10,0),0)</f>
        <v>0</v>
      </c>
      <c r="BX156" s="43">
        <f>SUM(tblSOW8[[#This Row],[Jan 2023 USD]:[Mar 2023 USD]])</f>
        <v>0</v>
      </c>
      <c r="BY156" s="43">
        <f>SUM(tblSOW8[[#This Row],[Apr 2023 USD]:[Jun 2023 USD]])</f>
        <v>0</v>
      </c>
      <c r="BZ156" s="43">
        <f>SUM(tblSOW8[[#This Row],[Jul 2023 USD]:[Sep 2023 USD]])</f>
        <v>0</v>
      </c>
      <c r="CA156" s="43">
        <f>SUM(tblSOW8[[#This Row],[Oct 2023 USD]:[Dec 2023 USD]])</f>
        <v>0</v>
      </c>
    </row>
    <row r="157" spans="1:79" s="36" customFormat="1">
      <c r="A157" s="5"/>
      <c r="B157" s="5"/>
      <c r="C157" s="5"/>
      <c r="D157" s="39"/>
      <c r="E157" s="40"/>
      <c r="F157" s="39"/>
      <c r="G157" s="5"/>
      <c r="H157" s="5"/>
      <c r="I157" s="3"/>
      <c r="J157" s="3"/>
      <c r="K157" s="3"/>
      <c r="L157" s="85"/>
      <c r="M157" s="45"/>
      <c r="N157" s="5"/>
      <c r="O157" s="3"/>
      <c r="P157" s="8"/>
      <c r="Q157" s="8"/>
      <c r="R157" s="5"/>
      <c r="S157" s="5"/>
      <c r="T157" s="3"/>
      <c r="U157" s="116"/>
      <c r="V157" s="3"/>
      <c r="W157" s="3"/>
      <c r="X157" s="5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>
        <f t="shared" si="16"/>
        <v>0</v>
      </c>
      <c r="BQ157" s="43">
        <f t="shared" si="16"/>
        <v>0</v>
      </c>
      <c r="BR157" s="43">
        <f t="shared" si="16"/>
        <v>0</v>
      </c>
      <c r="BS157" s="43">
        <f t="shared" si="16"/>
        <v>0</v>
      </c>
      <c r="BT157" s="43">
        <f t="shared" si="16"/>
        <v>0</v>
      </c>
      <c r="BU157" s="43">
        <f>SUM(tblSOW8[[#This Row],[P1]:[P12]])</f>
        <v>0</v>
      </c>
      <c r="BV157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57" s="43">
        <f>IFERROR(VLOOKUP(K157,[30]Parameters!BN:BW,10,0),0)</f>
        <v>0</v>
      </c>
      <c r="BX157" s="43">
        <f>SUM(tblSOW8[[#This Row],[Jan 2023 USD]:[Mar 2023 USD]])</f>
        <v>0</v>
      </c>
      <c r="BY157" s="43">
        <f>SUM(tblSOW8[[#This Row],[Apr 2023 USD]:[Jun 2023 USD]])</f>
        <v>0</v>
      </c>
      <c r="BZ157" s="43">
        <f>SUM(tblSOW8[[#This Row],[Jul 2023 USD]:[Sep 2023 USD]])</f>
        <v>0</v>
      </c>
      <c r="CA157" s="43">
        <f>SUM(tblSOW8[[#This Row],[Oct 2023 USD]:[Dec 2023 USD]])</f>
        <v>0</v>
      </c>
    </row>
    <row r="158" spans="1:79" s="36" customFormat="1">
      <c r="A158" s="5"/>
      <c r="B158" s="5"/>
      <c r="C158" s="5"/>
      <c r="D158" s="39"/>
      <c r="E158" s="40"/>
      <c r="F158" s="39"/>
      <c r="G158" s="5"/>
      <c r="H158" s="5"/>
      <c r="I158" s="3"/>
      <c r="J158" s="3"/>
      <c r="K158" s="3"/>
      <c r="L158" s="85"/>
      <c r="M158" s="45"/>
      <c r="N158" s="5"/>
      <c r="O158" s="3"/>
      <c r="P158" s="8"/>
      <c r="Q158" s="8"/>
      <c r="R158" s="5"/>
      <c r="S158" s="5"/>
      <c r="T158" s="3"/>
      <c r="U158" s="3"/>
      <c r="V158" s="3"/>
      <c r="W158" s="3"/>
      <c r="X158" s="5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>
        <f t="shared" si="16"/>
        <v>0</v>
      </c>
      <c r="BQ158" s="43">
        <f t="shared" si="16"/>
        <v>0</v>
      </c>
      <c r="BR158" s="43">
        <f t="shared" si="16"/>
        <v>0</v>
      </c>
      <c r="BS158" s="43">
        <f t="shared" si="16"/>
        <v>0</v>
      </c>
      <c r="BT158" s="43">
        <f t="shared" si="16"/>
        <v>0</v>
      </c>
      <c r="BU158" s="43">
        <f>SUM(tblSOW8[[#This Row],[P1]:[P12]])</f>
        <v>0</v>
      </c>
      <c r="BV158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58" s="43">
        <f>IFERROR(VLOOKUP(K158,[30]Parameters!BN:BW,10,0),0)</f>
        <v>0</v>
      </c>
      <c r="BX158" s="43">
        <f>SUM(tblSOW8[[#This Row],[Jan 2023 USD]:[Mar 2023 USD]])</f>
        <v>0</v>
      </c>
      <c r="BY158" s="43">
        <f>SUM(tblSOW8[[#This Row],[Apr 2023 USD]:[Jun 2023 USD]])</f>
        <v>0</v>
      </c>
      <c r="BZ158" s="43">
        <f>SUM(tblSOW8[[#This Row],[Jul 2023 USD]:[Sep 2023 USD]])</f>
        <v>0</v>
      </c>
      <c r="CA158" s="43">
        <f>SUM(tblSOW8[[#This Row],[Oct 2023 USD]:[Dec 2023 USD]])</f>
        <v>0</v>
      </c>
    </row>
    <row r="159" spans="1:79" s="36" customFormat="1">
      <c r="A159" s="5"/>
      <c r="B159" s="5"/>
      <c r="C159" s="5"/>
      <c r="D159" s="39"/>
      <c r="E159" s="40"/>
      <c r="F159" s="39"/>
      <c r="G159" s="5"/>
      <c r="H159" s="5"/>
      <c r="I159" s="3"/>
      <c r="J159" s="3"/>
      <c r="K159" s="3"/>
      <c r="L159" s="85"/>
      <c r="M159" s="45"/>
      <c r="N159" s="5"/>
      <c r="O159" s="3"/>
      <c r="P159" s="8"/>
      <c r="Q159" s="8"/>
      <c r="R159" s="5"/>
      <c r="S159" s="5"/>
      <c r="T159" s="3"/>
      <c r="U159" s="116"/>
      <c r="V159" s="3"/>
      <c r="W159" s="3"/>
      <c r="X159" s="5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>
        <f t="shared" si="16"/>
        <v>0</v>
      </c>
      <c r="BQ159" s="43">
        <f t="shared" si="16"/>
        <v>0</v>
      </c>
      <c r="BR159" s="43">
        <f t="shared" si="16"/>
        <v>0</v>
      </c>
      <c r="BS159" s="43">
        <f t="shared" si="16"/>
        <v>0</v>
      </c>
      <c r="BT159" s="43">
        <f t="shared" si="16"/>
        <v>0</v>
      </c>
      <c r="BU159" s="43">
        <f>SUM(tblSOW8[[#This Row],[P1]:[P12]])</f>
        <v>0</v>
      </c>
      <c r="BV159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59" s="43">
        <f>IFERROR(VLOOKUP(K159,[30]Parameters!BN:BW,10,0),0)</f>
        <v>0</v>
      </c>
      <c r="BX159" s="43">
        <f>SUM(tblSOW8[[#This Row],[Jan 2023 USD]:[Mar 2023 USD]])</f>
        <v>0</v>
      </c>
      <c r="BY159" s="43">
        <f>SUM(tblSOW8[[#This Row],[Apr 2023 USD]:[Jun 2023 USD]])</f>
        <v>0</v>
      </c>
      <c r="BZ159" s="43">
        <f>SUM(tblSOW8[[#This Row],[Jul 2023 USD]:[Sep 2023 USD]])</f>
        <v>0</v>
      </c>
      <c r="CA159" s="43">
        <f>SUM(tblSOW8[[#This Row],[Oct 2023 USD]:[Dec 2023 USD]])</f>
        <v>0</v>
      </c>
    </row>
    <row r="160" spans="1:79" s="36" customFormat="1">
      <c r="A160" s="5"/>
      <c r="B160" s="5"/>
      <c r="C160" s="5"/>
      <c r="D160" s="39"/>
      <c r="E160" s="40"/>
      <c r="F160" s="39"/>
      <c r="G160" s="5"/>
      <c r="H160" s="5"/>
      <c r="I160" s="3"/>
      <c r="J160" s="3"/>
      <c r="K160" s="3"/>
      <c r="L160" s="85"/>
      <c r="M160" s="45"/>
      <c r="N160" s="5"/>
      <c r="O160" s="3"/>
      <c r="P160" s="8"/>
      <c r="Q160" s="8"/>
      <c r="R160" s="5"/>
      <c r="S160" s="5"/>
      <c r="T160" s="3"/>
      <c r="U160" s="3"/>
      <c r="V160" s="3"/>
      <c r="W160" s="3"/>
      <c r="X160" s="5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>
        <f t="shared" si="16"/>
        <v>0</v>
      </c>
      <c r="BQ160" s="43">
        <f t="shared" si="16"/>
        <v>0</v>
      </c>
      <c r="BR160" s="43">
        <f t="shared" si="16"/>
        <v>0</v>
      </c>
      <c r="BS160" s="43">
        <f t="shared" si="16"/>
        <v>0</v>
      </c>
      <c r="BT160" s="43">
        <f t="shared" si="16"/>
        <v>0</v>
      </c>
      <c r="BU160" s="43">
        <f>SUM(tblSOW8[[#This Row],[P1]:[P12]])</f>
        <v>0</v>
      </c>
      <c r="BV160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60" s="43">
        <f>IFERROR(VLOOKUP(K160,[30]Parameters!BN:BW,10,0),0)</f>
        <v>0</v>
      </c>
      <c r="BX160" s="43">
        <f>SUM(tblSOW8[[#This Row],[Jan 2023 USD]:[Mar 2023 USD]])</f>
        <v>0</v>
      </c>
      <c r="BY160" s="43">
        <f>SUM(tblSOW8[[#This Row],[Apr 2023 USD]:[Jun 2023 USD]])</f>
        <v>0</v>
      </c>
      <c r="BZ160" s="43">
        <f>SUM(tblSOW8[[#This Row],[Jul 2023 USD]:[Sep 2023 USD]])</f>
        <v>0</v>
      </c>
      <c r="CA160" s="43">
        <f>SUM(tblSOW8[[#This Row],[Oct 2023 USD]:[Dec 2023 USD]])</f>
        <v>0</v>
      </c>
    </row>
    <row r="161" spans="1:79" s="36" customFormat="1">
      <c r="A161" s="5"/>
      <c r="B161" s="5"/>
      <c r="C161" s="5"/>
      <c r="D161" s="39"/>
      <c r="E161" s="40"/>
      <c r="F161" s="39"/>
      <c r="G161" s="5"/>
      <c r="H161" s="5"/>
      <c r="I161" s="3"/>
      <c r="J161" s="3"/>
      <c r="K161" s="3"/>
      <c r="L161" s="85"/>
      <c r="M161" s="45"/>
      <c r="N161" s="5"/>
      <c r="O161" s="3"/>
      <c r="P161" s="8"/>
      <c r="Q161" s="8"/>
      <c r="R161" s="5"/>
      <c r="S161" s="5"/>
      <c r="T161" s="3"/>
      <c r="U161" s="116"/>
      <c r="V161" s="3"/>
      <c r="W161" s="3"/>
      <c r="X161" s="5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>
        <f t="shared" si="16"/>
        <v>0</v>
      </c>
      <c r="BQ161" s="43">
        <f t="shared" si="16"/>
        <v>0</v>
      </c>
      <c r="BR161" s="43">
        <f t="shared" si="16"/>
        <v>0</v>
      </c>
      <c r="BS161" s="43">
        <f t="shared" si="16"/>
        <v>0</v>
      </c>
      <c r="BT161" s="43">
        <f t="shared" si="16"/>
        <v>0</v>
      </c>
      <c r="BU161" s="43">
        <f>SUM(tblSOW8[[#This Row],[P1]:[P12]])</f>
        <v>0</v>
      </c>
      <c r="BV161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61" s="43">
        <f>IFERROR(VLOOKUP(K161,[30]Parameters!BN:BW,10,0),0)</f>
        <v>0</v>
      </c>
      <c r="BX161" s="43">
        <f>SUM(tblSOW8[[#This Row],[Jan 2023 USD]:[Mar 2023 USD]])</f>
        <v>0</v>
      </c>
      <c r="BY161" s="43">
        <f>SUM(tblSOW8[[#This Row],[Apr 2023 USD]:[Jun 2023 USD]])</f>
        <v>0</v>
      </c>
      <c r="BZ161" s="43">
        <f>SUM(tblSOW8[[#This Row],[Jul 2023 USD]:[Sep 2023 USD]])</f>
        <v>0</v>
      </c>
      <c r="CA161" s="43">
        <f>SUM(tblSOW8[[#This Row],[Oct 2023 USD]:[Dec 2023 USD]])</f>
        <v>0</v>
      </c>
    </row>
    <row r="162" spans="1:79" s="36" customFormat="1">
      <c r="A162" s="5"/>
      <c r="B162" s="5"/>
      <c r="C162" s="5"/>
      <c r="D162" s="39"/>
      <c r="E162" s="40"/>
      <c r="F162" s="39"/>
      <c r="G162" s="5"/>
      <c r="H162" s="5"/>
      <c r="I162" s="3"/>
      <c r="J162" s="3"/>
      <c r="K162" s="3"/>
      <c r="L162" s="85"/>
      <c r="M162" s="45"/>
      <c r="N162" s="5"/>
      <c r="O162" s="3"/>
      <c r="P162" s="8"/>
      <c r="Q162" s="8"/>
      <c r="R162" s="5"/>
      <c r="S162" s="5"/>
      <c r="T162" s="3"/>
      <c r="U162" s="3"/>
      <c r="V162" s="3"/>
      <c r="W162" s="3"/>
      <c r="X162" s="5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>
        <f t="shared" si="16"/>
        <v>0</v>
      </c>
      <c r="BQ162" s="43">
        <f t="shared" si="16"/>
        <v>0</v>
      </c>
      <c r="BR162" s="43">
        <f t="shared" si="16"/>
        <v>0</v>
      </c>
      <c r="BS162" s="43">
        <f t="shared" si="16"/>
        <v>0</v>
      </c>
      <c r="BT162" s="43">
        <f t="shared" si="16"/>
        <v>0</v>
      </c>
      <c r="BU162" s="43">
        <f>SUM(tblSOW8[[#This Row],[P1]:[P12]])</f>
        <v>0</v>
      </c>
      <c r="BV162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62" s="43">
        <f>IFERROR(VLOOKUP(K162,[30]Parameters!BN:BW,10,0),0)</f>
        <v>0</v>
      </c>
      <c r="BX162" s="43">
        <f>SUM(tblSOW8[[#This Row],[Jan 2023 USD]:[Mar 2023 USD]])</f>
        <v>0</v>
      </c>
      <c r="BY162" s="43">
        <f>SUM(tblSOW8[[#This Row],[Apr 2023 USD]:[Jun 2023 USD]])</f>
        <v>0</v>
      </c>
      <c r="BZ162" s="43">
        <f>SUM(tblSOW8[[#This Row],[Jul 2023 USD]:[Sep 2023 USD]])</f>
        <v>0</v>
      </c>
      <c r="CA162" s="43">
        <f>SUM(tblSOW8[[#This Row],[Oct 2023 USD]:[Dec 2023 USD]])</f>
        <v>0</v>
      </c>
    </row>
    <row r="163" spans="1:79" s="36" customFormat="1">
      <c r="A163" s="5"/>
      <c r="B163" s="5"/>
      <c r="C163" s="5"/>
      <c r="D163" s="39"/>
      <c r="E163" s="40"/>
      <c r="F163" s="39"/>
      <c r="G163" s="5"/>
      <c r="H163" s="5"/>
      <c r="I163" s="3"/>
      <c r="J163" s="3"/>
      <c r="K163" s="3"/>
      <c r="L163" s="85"/>
      <c r="M163" s="45"/>
      <c r="N163" s="5"/>
      <c r="O163" s="3"/>
      <c r="P163" s="8"/>
      <c r="Q163" s="8"/>
      <c r="R163" s="5"/>
      <c r="S163" s="5"/>
      <c r="T163" s="3"/>
      <c r="U163" s="116"/>
      <c r="V163" s="3"/>
      <c r="W163" s="3"/>
      <c r="X163" s="5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>
        <f t="shared" si="16"/>
        <v>0</v>
      </c>
      <c r="BQ163" s="43">
        <f t="shared" si="16"/>
        <v>0</v>
      </c>
      <c r="BR163" s="43">
        <f t="shared" si="16"/>
        <v>0</v>
      </c>
      <c r="BS163" s="43">
        <f t="shared" si="16"/>
        <v>0</v>
      </c>
      <c r="BT163" s="43">
        <f t="shared" si="16"/>
        <v>0</v>
      </c>
      <c r="BU163" s="43">
        <f>SUM(tblSOW8[[#This Row],[P1]:[P12]])</f>
        <v>0</v>
      </c>
      <c r="BV163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63" s="43">
        <f>IFERROR(VLOOKUP(K163,[30]Parameters!BN:BW,10,0),0)</f>
        <v>0</v>
      </c>
      <c r="BX163" s="43">
        <f>SUM(tblSOW8[[#This Row],[Jan 2023 USD]:[Mar 2023 USD]])</f>
        <v>0</v>
      </c>
      <c r="BY163" s="43">
        <f>SUM(tblSOW8[[#This Row],[Apr 2023 USD]:[Jun 2023 USD]])</f>
        <v>0</v>
      </c>
      <c r="BZ163" s="43">
        <f>SUM(tblSOW8[[#This Row],[Jul 2023 USD]:[Sep 2023 USD]])</f>
        <v>0</v>
      </c>
      <c r="CA163" s="43">
        <f>SUM(tblSOW8[[#This Row],[Oct 2023 USD]:[Dec 2023 USD]])</f>
        <v>0</v>
      </c>
    </row>
    <row r="164" spans="1:79" s="36" customFormat="1">
      <c r="A164" s="5"/>
      <c r="B164" s="5"/>
      <c r="C164" s="5"/>
      <c r="D164" s="39"/>
      <c r="E164" s="40"/>
      <c r="F164" s="39"/>
      <c r="G164" s="5"/>
      <c r="H164" s="5"/>
      <c r="I164" s="3"/>
      <c r="J164" s="3"/>
      <c r="K164" s="3"/>
      <c r="L164" s="85"/>
      <c r="M164" s="45"/>
      <c r="N164" s="5"/>
      <c r="O164" s="3"/>
      <c r="P164" s="8"/>
      <c r="Q164" s="8"/>
      <c r="R164" s="5"/>
      <c r="S164" s="5"/>
      <c r="T164" s="3"/>
      <c r="U164" s="3"/>
      <c r="V164" s="3"/>
      <c r="W164" s="3"/>
      <c r="X164" s="5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>
        <f t="shared" si="16"/>
        <v>0</v>
      </c>
      <c r="BQ164" s="43">
        <f t="shared" si="16"/>
        <v>0</v>
      </c>
      <c r="BR164" s="43">
        <f t="shared" si="16"/>
        <v>0</v>
      </c>
      <c r="BS164" s="43">
        <f t="shared" si="16"/>
        <v>0</v>
      </c>
      <c r="BT164" s="43">
        <f t="shared" si="16"/>
        <v>0</v>
      </c>
      <c r="BU164" s="43">
        <f>SUM(tblSOW8[[#This Row],[P1]:[P12]])</f>
        <v>0</v>
      </c>
      <c r="BV164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64" s="43">
        <f>IFERROR(VLOOKUP(K164,[30]Parameters!BN:BW,10,0),0)</f>
        <v>0</v>
      </c>
      <c r="BX164" s="43">
        <f>SUM(tblSOW8[[#This Row],[Jan 2023 USD]:[Mar 2023 USD]])</f>
        <v>0</v>
      </c>
      <c r="BY164" s="43">
        <f>SUM(tblSOW8[[#This Row],[Apr 2023 USD]:[Jun 2023 USD]])</f>
        <v>0</v>
      </c>
      <c r="BZ164" s="43">
        <f>SUM(tblSOW8[[#This Row],[Jul 2023 USD]:[Sep 2023 USD]])</f>
        <v>0</v>
      </c>
      <c r="CA164" s="43">
        <f>SUM(tblSOW8[[#This Row],[Oct 2023 USD]:[Dec 2023 USD]])</f>
        <v>0</v>
      </c>
    </row>
    <row r="165" spans="1:79" s="36" customFormat="1">
      <c r="A165" s="5"/>
      <c r="B165" s="5"/>
      <c r="C165" s="5"/>
      <c r="D165" s="39"/>
      <c r="E165" s="40"/>
      <c r="F165" s="39"/>
      <c r="G165" s="5"/>
      <c r="H165" s="5"/>
      <c r="I165" s="3"/>
      <c r="J165" s="3"/>
      <c r="K165" s="3"/>
      <c r="L165" s="85"/>
      <c r="M165" s="45"/>
      <c r="N165" s="5"/>
      <c r="O165" s="3"/>
      <c r="P165" s="8"/>
      <c r="Q165" s="8"/>
      <c r="R165" s="5"/>
      <c r="S165" s="5"/>
      <c r="T165" s="3"/>
      <c r="U165" s="116"/>
      <c r="V165" s="3"/>
      <c r="W165" s="3"/>
      <c r="X165" s="5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>
        <f t="shared" si="16"/>
        <v>0</v>
      </c>
      <c r="BQ165" s="43">
        <f t="shared" si="16"/>
        <v>0</v>
      </c>
      <c r="BR165" s="43">
        <f t="shared" si="16"/>
        <v>0</v>
      </c>
      <c r="BS165" s="43">
        <f t="shared" si="16"/>
        <v>0</v>
      </c>
      <c r="BT165" s="43">
        <f t="shared" si="16"/>
        <v>0</v>
      </c>
      <c r="BU165" s="43">
        <f>SUM(tblSOW8[[#This Row],[P1]:[P12]])</f>
        <v>0</v>
      </c>
      <c r="BV165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65" s="43">
        <f>IFERROR(VLOOKUP(K165,[30]Parameters!BN:BW,10,0),0)</f>
        <v>0</v>
      </c>
      <c r="BX165" s="43">
        <f>SUM(tblSOW8[[#This Row],[Jan 2023 USD]:[Mar 2023 USD]])</f>
        <v>0</v>
      </c>
      <c r="BY165" s="43">
        <f>SUM(tblSOW8[[#This Row],[Apr 2023 USD]:[Jun 2023 USD]])</f>
        <v>0</v>
      </c>
      <c r="BZ165" s="43">
        <f>SUM(tblSOW8[[#This Row],[Jul 2023 USD]:[Sep 2023 USD]])</f>
        <v>0</v>
      </c>
      <c r="CA165" s="43">
        <f>SUM(tblSOW8[[#This Row],[Oct 2023 USD]:[Dec 2023 USD]])</f>
        <v>0</v>
      </c>
    </row>
    <row r="166" spans="1:79" s="36" customFormat="1">
      <c r="A166" s="5"/>
      <c r="B166" s="5"/>
      <c r="C166" s="5"/>
      <c r="D166" s="39"/>
      <c r="E166" s="40"/>
      <c r="F166" s="39"/>
      <c r="G166" s="5"/>
      <c r="H166" s="5"/>
      <c r="I166" s="3"/>
      <c r="J166" s="3"/>
      <c r="K166" s="3"/>
      <c r="L166" s="85"/>
      <c r="M166" s="45"/>
      <c r="N166" s="5"/>
      <c r="O166" s="3"/>
      <c r="P166" s="8"/>
      <c r="Q166" s="8"/>
      <c r="R166" s="5"/>
      <c r="S166" s="5"/>
      <c r="T166" s="3"/>
      <c r="U166" s="3"/>
      <c r="V166" s="3"/>
      <c r="W166" s="3"/>
      <c r="X166" s="5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>
        <f t="shared" si="16"/>
        <v>0</v>
      </c>
      <c r="BQ166" s="43">
        <f t="shared" si="16"/>
        <v>0</v>
      </c>
      <c r="BR166" s="43">
        <f t="shared" si="16"/>
        <v>0</v>
      </c>
      <c r="BS166" s="43">
        <f t="shared" si="16"/>
        <v>0</v>
      </c>
      <c r="BT166" s="43">
        <f t="shared" si="16"/>
        <v>0</v>
      </c>
      <c r="BU166" s="43">
        <f>SUM(tblSOW8[[#This Row],[P1]:[P12]])</f>
        <v>0</v>
      </c>
      <c r="BV166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66" s="43">
        <f>IFERROR(VLOOKUP(K166,[30]Parameters!BN:BW,10,0),0)</f>
        <v>0</v>
      </c>
      <c r="BX166" s="43">
        <f>SUM(tblSOW8[[#This Row],[Jan 2023 USD]:[Mar 2023 USD]])</f>
        <v>0</v>
      </c>
      <c r="BY166" s="43">
        <f>SUM(tblSOW8[[#This Row],[Apr 2023 USD]:[Jun 2023 USD]])</f>
        <v>0</v>
      </c>
      <c r="BZ166" s="43">
        <f>SUM(tblSOW8[[#This Row],[Jul 2023 USD]:[Sep 2023 USD]])</f>
        <v>0</v>
      </c>
      <c r="CA166" s="43">
        <f>SUM(tblSOW8[[#This Row],[Oct 2023 USD]:[Dec 2023 USD]])</f>
        <v>0</v>
      </c>
    </row>
    <row r="167" spans="1:79" s="36" customFormat="1">
      <c r="A167" s="5"/>
      <c r="B167" s="5"/>
      <c r="C167" s="5"/>
      <c r="D167" s="39"/>
      <c r="E167" s="40"/>
      <c r="F167" s="39"/>
      <c r="G167" s="5"/>
      <c r="H167" s="5"/>
      <c r="I167" s="3"/>
      <c r="J167" s="3"/>
      <c r="K167" s="3"/>
      <c r="L167" s="85"/>
      <c r="M167" s="45"/>
      <c r="N167" s="5"/>
      <c r="O167" s="3"/>
      <c r="P167" s="8"/>
      <c r="Q167" s="8"/>
      <c r="R167" s="5"/>
      <c r="S167" s="5"/>
      <c r="T167" s="3"/>
      <c r="U167" s="116"/>
      <c r="V167" s="3"/>
      <c r="W167" s="3"/>
      <c r="X167" s="5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>
        <f t="shared" si="16"/>
        <v>0</v>
      </c>
      <c r="BQ167" s="43">
        <f t="shared" si="16"/>
        <v>0</v>
      </c>
      <c r="BR167" s="43">
        <f t="shared" si="16"/>
        <v>0</v>
      </c>
      <c r="BS167" s="43">
        <f t="shared" si="16"/>
        <v>0</v>
      </c>
      <c r="BT167" s="43">
        <f t="shared" si="16"/>
        <v>0</v>
      </c>
      <c r="BU167" s="43">
        <f>SUM(tblSOW8[[#This Row],[P1]:[P12]])</f>
        <v>0</v>
      </c>
      <c r="BV167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67" s="43">
        <f>IFERROR(VLOOKUP(K167,[30]Parameters!BN:BW,10,0),0)</f>
        <v>0</v>
      </c>
      <c r="BX167" s="43">
        <f>SUM(tblSOW8[[#This Row],[Jan 2023 USD]:[Mar 2023 USD]])</f>
        <v>0</v>
      </c>
      <c r="BY167" s="43">
        <f>SUM(tblSOW8[[#This Row],[Apr 2023 USD]:[Jun 2023 USD]])</f>
        <v>0</v>
      </c>
      <c r="BZ167" s="43">
        <f>SUM(tblSOW8[[#This Row],[Jul 2023 USD]:[Sep 2023 USD]])</f>
        <v>0</v>
      </c>
      <c r="CA167" s="43">
        <f>SUM(tblSOW8[[#This Row],[Oct 2023 USD]:[Dec 2023 USD]])</f>
        <v>0</v>
      </c>
    </row>
    <row r="168" spans="1:79" s="36" customFormat="1">
      <c r="A168" s="5"/>
      <c r="B168" s="5"/>
      <c r="C168" s="5"/>
      <c r="D168" s="39"/>
      <c r="E168" s="40"/>
      <c r="F168" s="39"/>
      <c r="G168" s="5"/>
      <c r="H168" s="5"/>
      <c r="I168" s="3"/>
      <c r="J168" s="3"/>
      <c r="K168" s="3"/>
      <c r="L168" s="85"/>
      <c r="M168" s="45"/>
      <c r="N168" s="5"/>
      <c r="O168" s="3"/>
      <c r="P168" s="8"/>
      <c r="Q168" s="8"/>
      <c r="R168" s="5"/>
      <c r="S168" s="5"/>
      <c r="T168" s="3"/>
      <c r="U168" s="3"/>
      <c r="V168" s="3"/>
      <c r="W168" s="3"/>
      <c r="X168" s="5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>
        <f t="shared" si="16"/>
        <v>0</v>
      </c>
      <c r="BQ168" s="43">
        <f t="shared" si="16"/>
        <v>0</v>
      </c>
      <c r="BR168" s="43">
        <f t="shared" si="16"/>
        <v>0</v>
      </c>
      <c r="BS168" s="43">
        <f t="shared" si="16"/>
        <v>0</v>
      </c>
      <c r="BT168" s="43">
        <f t="shared" si="16"/>
        <v>0</v>
      </c>
      <c r="BU168" s="43">
        <f>SUM(tblSOW8[[#This Row],[P1]:[P12]])</f>
        <v>0</v>
      </c>
      <c r="BV168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68" s="43">
        <f>IFERROR(VLOOKUP(K168,[30]Parameters!BN:BW,10,0),0)</f>
        <v>0</v>
      </c>
      <c r="BX168" s="43">
        <f>SUM(tblSOW8[[#This Row],[Jan 2023 USD]:[Mar 2023 USD]])</f>
        <v>0</v>
      </c>
      <c r="BY168" s="43">
        <f>SUM(tblSOW8[[#This Row],[Apr 2023 USD]:[Jun 2023 USD]])</f>
        <v>0</v>
      </c>
      <c r="BZ168" s="43">
        <f>SUM(tblSOW8[[#This Row],[Jul 2023 USD]:[Sep 2023 USD]])</f>
        <v>0</v>
      </c>
      <c r="CA168" s="43">
        <f>SUM(tblSOW8[[#This Row],[Oct 2023 USD]:[Dec 2023 USD]])</f>
        <v>0</v>
      </c>
    </row>
    <row r="169" spans="1:79" s="36" customFormat="1">
      <c r="A169" s="5"/>
      <c r="B169" s="5"/>
      <c r="C169" s="5"/>
      <c r="D169" s="39"/>
      <c r="E169" s="40"/>
      <c r="F169" s="39"/>
      <c r="G169" s="5"/>
      <c r="H169" s="5"/>
      <c r="I169" s="3"/>
      <c r="J169" s="3"/>
      <c r="K169" s="3"/>
      <c r="L169" s="85"/>
      <c r="M169" s="45"/>
      <c r="N169" s="5"/>
      <c r="O169" s="3"/>
      <c r="P169" s="8"/>
      <c r="Q169" s="8"/>
      <c r="R169" s="5"/>
      <c r="S169" s="5"/>
      <c r="T169" s="3"/>
      <c r="U169" s="116"/>
      <c r="V169" s="3"/>
      <c r="W169" s="3"/>
      <c r="X169" s="5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>
        <f t="shared" si="16"/>
        <v>0</v>
      </c>
      <c r="BQ169" s="43">
        <f t="shared" si="16"/>
        <v>0</v>
      </c>
      <c r="BR169" s="43">
        <f t="shared" si="16"/>
        <v>0</v>
      </c>
      <c r="BS169" s="43">
        <f t="shared" si="16"/>
        <v>0</v>
      </c>
      <c r="BT169" s="43">
        <f t="shared" si="16"/>
        <v>0</v>
      </c>
      <c r="BU169" s="43">
        <f>SUM(tblSOW8[[#This Row],[P1]:[P12]])</f>
        <v>0</v>
      </c>
      <c r="BV169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69" s="43">
        <f>IFERROR(VLOOKUP(K169,[30]Parameters!BN:BW,10,0),0)</f>
        <v>0</v>
      </c>
      <c r="BX169" s="43">
        <f>SUM(tblSOW8[[#This Row],[Jan 2023 USD]:[Mar 2023 USD]])</f>
        <v>0</v>
      </c>
      <c r="BY169" s="43">
        <f>SUM(tblSOW8[[#This Row],[Apr 2023 USD]:[Jun 2023 USD]])</f>
        <v>0</v>
      </c>
      <c r="BZ169" s="43">
        <f>SUM(tblSOW8[[#This Row],[Jul 2023 USD]:[Sep 2023 USD]])</f>
        <v>0</v>
      </c>
      <c r="CA169" s="43">
        <f>SUM(tblSOW8[[#This Row],[Oct 2023 USD]:[Dec 2023 USD]])</f>
        <v>0</v>
      </c>
    </row>
    <row r="170" spans="1:79" s="36" customFormat="1">
      <c r="A170" s="5"/>
      <c r="B170" s="5"/>
      <c r="C170" s="5"/>
      <c r="D170" s="39"/>
      <c r="E170" s="40"/>
      <c r="F170" s="39"/>
      <c r="G170" s="5"/>
      <c r="H170" s="5"/>
      <c r="I170" s="3"/>
      <c r="J170" s="3"/>
      <c r="K170" s="3"/>
      <c r="L170" s="85"/>
      <c r="M170" s="45"/>
      <c r="N170" s="5"/>
      <c r="O170" s="3"/>
      <c r="P170" s="8"/>
      <c r="Q170" s="8"/>
      <c r="R170" s="5"/>
      <c r="S170" s="5"/>
      <c r="T170" s="3"/>
      <c r="U170" s="3"/>
      <c r="V170" s="3"/>
      <c r="W170" s="3"/>
      <c r="X170" s="5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>
        <f t="shared" si="16"/>
        <v>0</v>
      </c>
      <c r="BQ170" s="43">
        <f t="shared" si="16"/>
        <v>0</v>
      </c>
      <c r="BR170" s="43">
        <f t="shared" si="16"/>
        <v>0</v>
      </c>
      <c r="BS170" s="43">
        <f t="shared" si="16"/>
        <v>0</v>
      </c>
      <c r="BT170" s="43">
        <f t="shared" si="16"/>
        <v>0</v>
      </c>
      <c r="BU170" s="43">
        <f>SUM(tblSOW8[[#This Row],[P1]:[P12]])</f>
        <v>0</v>
      </c>
      <c r="BV170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70" s="43">
        <f>IFERROR(VLOOKUP(K170,[30]Parameters!BN:BW,10,0),0)</f>
        <v>0</v>
      </c>
      <c r="BX170" s="43">
        <f>SUM(tblSOW8[[#This Row],[Jan 2023 USD]:[Mar 2023 USD]])</f>
        <v>0</v>
      </c>
      <c r="BY170" s="43">
        <f>SUM(tblSOW8[[#This Row],[Apr 2023 USD]:[Jun 2023 USD]])</f>
        <v>0</v>
      </c>
      <c r="BZ170" s="43">
        <f>SUM(tblSOW8[[#This Row],[Jul 2023 USD]:[Sep 2023 USD]])</f>
        <v>0</v>
      </c>
      <c r="CA170" s="43">
        <f>SUM(tblSOW8[[#This Row],[Oct 2023 USD]:[Dec 2023 USD]])</f>
        <v>0</v>
      </c>
    </row>
    <row r="171" spans="1:79" s="36" customFormat="1">
      <c r="A171" s="5"/>
      <c r="B171" s="5"/>
      <c r="C171" s="5"/>
      <c r="D171" s="39"/>
      <c r="E171" s="40"/>
      <c r="F171" s="39"/>
      <c r="G171" s="5"/>
      <c r="H171" s="5"/>
      <c r="I171" s="3"/>
      <c r="J171" s="3"/>
      <c r="K171" s="3"/>
      <c r="L171" s="85"/>
      <c r="M171" s="45"/>
      <c r="N171" s="5"/>
      <c r="O171" s="3"/>
      <c r="P171" s="8"/>
      <c r="Q171" s="8"/>
      <c r="R171" s="5"/>
      <c r="S171" s="5"/>
      <c r="T171" s="3"/>
      <c r="U171" s="116"/>
      <c r="V171" s="3"/>
      <c r="W171" s="3"/>
      <c r="X171" s="5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>
        <f t="shared" si="16"/>
        <v>0</v>
      </c>
      <c r="BQ171" s="43">
        <f t="shared" si="16"/>
        <v>0</v>
      </c>
      <c r="BR171" s="43">
        <f t="shared" si="16"/>
        <v>0</v>
      </c>
      <c r="BS171" s="43">
        <f t="shared" si="16"/>
        <v>0</v>
      </c>
      <c r="BT171" s="43">
        <f t="shared" si="16"/>
        <v>0</v>
      </c>
      <c r="BU171" s="43">
        <f>SUM(tblSOW8[[#This Row],[P1]:[P12]])</f>
        <v>0</v>
      </c>
      <c r="BV171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71" s="43">
        <f>IFERROR(VLOOKUP(K171,[30]Parameters!BN:BW,10,0),0)</f>
        <v>0</v>
      </c>
      <c r="BX171" s="43">
        <f>SUM(tblSOW8[[#This Row],[Jan 2023 USD]:[Mar 2023 USD]])</f>
        <v>0</v>
      </c>
      <c r="BY171" s="43">
        <f>SUM(tblSOW8[[#This Row],[Apr 2023 USD]:[Jun 2023 USD]])</f>
        <v>0</v>
      </c>
      <c r="BZ171" s="43">
        <f>SUM(tblSOW8[[#This Row],[Jul 2023 USD]:[Sep 2023 USD]])</f>
        <v>0</v>
      </c>
      <c r="CA171" s="43">
        <f>SUM(tblSOW8[[#This Row],[Oct 2023 USD]:[Dec 2023 USD]])</f>
        <v>0</v>
      </c>
    </row>
    <row r="172" spans="1:79" s="36" customFormat="1">
      <c r="A172" s="5"/>
      <c r="B172" s="5"/>
      <c r="C172" s="5"/>
      <c r="D172" s="39"/>
      <c r="E172" s="40"/>
      <c r="F172" s="39"/>
      <c r="G172" s="5"/>
      <c r="H172" s="5"/>
      <c r="I172" s="3"/>
      <c r="J172" s="3"/>
      <c r="K172" s="3"/>
      <c r="L172" s="85"/>
      <c r="M172" s="45"/>
      <c r="N172" s="5"/>
      <c r="O172" s="3"/>
      <c r="P172" s="8"/>
      <c r="Q172" s="8"/>
      <c r="R172" s="5"/>
      <c r="S172" s="5"/>
      <c r="T172" s="3"/>
      <c r="U172" s="3"/>
      <c r="V172" s="3"/>
      <c r="W172" s="3"/>
      <c r="X172" s="5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>
        <f t="shared" si="16"/>
        <v>0</v>
      </c>
      <c r="BQ172" s="43">
        <f t="shared" si="16"/>
        <v>0</v>
      </c>
      <c r="BR172" s="43">
        <f t="shared" si="16"/>
        <v>0</v>
      </c>
      <c r="BS172" s="43">
        <f t="shared" si="16"/>
        <v>0</v>
      </c>
      <c r="BT172" s="43">
        <f t="shared" si="16"/>
        <v>0</v>
      </c>
      <c r="BU172" s="43">
        <f>SUM(tblSOW8[[#This Row],[P1]:[P12]])</f>
        <v>0</v>
      </c>
      <c r="BV172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72" s="43">
        <f>IFERROR(VLOOKUP(K172,[30]Parameters!BN:BW,10,0),0)</f>
        <v>0</v>
      </c>
      <c r="BX172" s="43">
        <f>SUM(tblSOW8[[#This Row],[Jan 2023 USD]:[Mar 2023 USD]])</f>
        <v>0</v>
      </c>
      <c r="BY172" s="43">
        <f>SUM(tblSOW8[[#This Row],[Apr 2023 USD]:[Jun 2023 USD]])</f>
        <v>0</v>
      </c>
      <c r="BZ172" s="43">
        <f>SUM(tblSOW8[[#This Row],[Jul 2023 USD]:[Sep 2023 USD]])</f>
        <v>0</v>
      </c>
      <c r="CA172" s="43">
        <f>SUM(tblSOW8[[#This Row],[Oct 2023 USD]:[Dec 2023 USD]])</f>
        <v>0</v>
      </c>
    </row>
    <row r="173" spans="1:79" s="36" customFormat="1">
      <c r="A173" s="5"/>
      <c r="B173" s="5"/>
      <c r="C173" s="5"/>
      <c r="D173" s="39"/>
      <c r="E173" s="40"/>
      <c r="F173" s="39"/>
      <c r="G173" s="5"/>
      <c r="H173" s="5"/>
      <c r="I173" s="3"/>
      <c r="J173" s="3"/>
      <c r="K173" s="3"/>
      <c r="L173" s="85"/>
      <c r="M173" s="45"/>
      <c r="N173" s="5"/>
      <c r="O173" s="3"/>
      <c r="P173" s="8"/>
      <c r="Q173" s="8"/>
      <c r="R173" s="5"/>
      <c r="S173" s="5"/>
      <c r="T173" s="3"/>
      <c r="U173" s="116"/>
      <c r="V173" s="3"/>
      <c r="W173" s="3"/>
      <c r="X173" s="5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>
        <f t="shared" si="16"/>
        <v>0</v>
      </c>
      <c r="BQ173" s="43">
        <f t="shared" si="16"/>
        <v>0</v>
      </c>
      <c r="BR173" s="43">
        <f t="shared" si="16"/>
        <v>0</v>
      </c>
      <c r="BS173" s="43">
        <f t="shared" si="16"/>
        <v>0</v>
      </c>
      <c r="BT173" s="43">
        <f t="shared" si="16"/>
        <v>0</v>
      </c>
      <c r="BU173" s="43">
        <f>SUM(tblSOW8[[#This Row],[P1]:[P12]])</f>
        <v>0</v>
      </c>
      <c r="BV173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73" s="43">
        <f>IFERROR(VLOOKUP(K173,[30]Parameters!BN:BW,10,0),0)</f>
        <v>0</v>
      </c>
      <c r="BX173" s="43">
        <f>SUM(tblSOW8[[#This Row],[Jan 2023 USD]:[Mar 2023 USD]])</f>
        <v>0</v>
      </c>
      <c r="BY173" s="43">
        <f>SUM(tblSOW8[[#This Row],[Apr 2023 USD]:[Jun 2023 USD]])</f>
        <v>0</v>
      </c>
      <c r="BZ173" s="43">
        <f>SUM(tblSOW8[[#This Row],[Jul 2023 USD]:[Sep 2023 USD]])</f>
        <v>0</v>
      </c>
      <c r="CA173" s="43">
        <f>SUM(tblSOW8[[#This Row],[Oct 2023 USD]:[Dec 2023 USD]])</f>
        <v>0</v>
      </c>
    </row>
    <row r="174" spans="1:79" s="36" customFormat="1">
      <c r="A174" s="5"/>
      <c r="B174" s="5"/>
      <c r="C174" s="5"/>
      <c r="D174" s="39"/>
      <c r="E174" s="40"/>
      <c r="F174" s="39"/>
      <c r="G174" s="5"/>
      <c r="H174" s="5"/>
      <c r="I174" s="3"/>
      <c r="J174" s="3"/>
      <c r="K174" s="3"/>
      <c r="L174" s="85"/>
      <c r="M174" s="45"/>
      <c r="N174" s="5"/>
      <c r="O174" s="3"/>
      <c r="P174" s="8"/>
      <c r="Q174" s="8"/>
      <c r="R174" s="5"/>
      <c r="S174" s="5"/>
      <c r="T174" s="3"/>
      <c r="U174" s="116"/>
      <c r="V174" s="3"/>
      <c r="W174" s="3"/>
      <c r="X174" s="5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>
        <f t="shared" si="16"/>
        <v>0</v>
      </c>
      <c r="BQ174" s="43">
        <f t="shared" si="16"/>
        <v>0</v>
      </c>
      <c r="BR174" s="43">
        <f t="shared" si="16"/>
        <v>0</v>
      </c>
      <c r="BS174" s="43">
        <f t="shared" si="16"/>
        <v>0</v>
      </c>
      <c r="BT174" s="43">
        <f t="shared" si="16"/>
        <v>0</v>
      </c>
      <c r="BU174" s="43">
        <f>SUM(tblSOW8[[#This Row],[P1]:[P12]])</f>
        <v>0</v>
      </c>
      <c r="BV174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74" s="43">
        <f>IFERROR(VLOOKUP(K174,[30]Parameters!BN:BW,10,0),0)</f>
        <v>0</v>
      </c>
      <c r="BX174" s="43">
        <f>SUM(tblSOW8[[#This Row],[Jan 2023 USD]:[Mar 2023 USD]])</f>
        <v>0</v>
      </c>
      <c r="BY174" s="43">
        <f>SUM(tblSOW8[[#This Row],[Apr 2023 USD]:[Jun 2023 USD]])</f>
        <v>0</v>
      </c>
      <c r="BZ174" s="43">
        <f>SUM(tblSOW8[[#This Row],[Jul 2023 USD]:[Sep 2023 USD]])</f>
        <v>0</v>
      </c>
      <c r="CA174" s="43">
        <f>SUM(tblSOW8[[#This Row],[Oct 2023 USD]:[Dec 2023 USD]])</f>
        <v>0</v>
      </c>
    </row>
    <row r="175" spans="1:79" s="36" customFormat="1">
      <c r="A175" s="5"/>
      <c r="B175" s="5"/>
      <c r="C175" s="5"/>
      <c r="D175" s="39"/>
      <c r="E175" s="40"/>
      <c r="F175" s="39"/>
      <c r="G175" s="5"/>
      <c r="H175" s="5"/>
      <c r="I175" s="3"/>
      <c r="J175" s="3"/>
      <c r="K175" s="3"/>
      <c r="L175" s="85"/>
      <c r="M175" s="45"/>
      <c r="N175" s="5"/>
      <c r="O175" s="3"/>
      <c r="P175" s="8"/>
      <c r="Q175" s="8"/>
      <c r="R175" s="5"/>
      <c r="S175" s="5"/>
      <c r="T175" s="3"/>
      <c r="U175" s="3"/>
      <c r="V175" s="3"/>
      <c r="W175" s="3"/>
      <c r="X175" s="5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>
        <f t="shared" si="16"/>
        <v>0</v>
      </c>
      <c r="BQ175" s="43">
        <f t="shared" si="16"/>
        <v>0</v>
      </c>
      <c r="BR175" s="43">
        <f t="shared" si="16"/>
        <v>0</v>
      </c>
      <c r="BS175" s="43">
        <f t="shared" si="16"/>
        <v>0</v>
      </c>
      <c r="BT175" s="43">
        <f t="shared" si="16"/>
        <v>0</v>
      </c>
      <c r="BU175" s="43">
        <f>SUM(tblSOW8[[#This Row],[P1]:[P12]])</f>
        <v>0</v>
      </c>
      <c r="BV175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75" s="43">
        <f>IFERROR(VLOOKUP(K175,[30]Parameters!BN:BW,10,0),0)</f>
        <v>0</v>
      </c>
      <c r="BX175" s="43">
        <f>SUM(tblSOW8[[#This Row],[Jan 2023 USD]:[Mar 2023 USD]])</f>
        <v>0</v>
      </c>
      <c r="BY175" s="43">
        <f>SUM(tblSOW8[[#This Row],[Apr 2023 USD]:[Jun 2023 USD]])</f>
        <v>0</v>
      </c>
      <c r="BZ175" s="43">
        <f>SUM(tblSOW8[[#This Row],[Jul 2023 USD]:[Sep 2023 USD]])</f>
        <v>0</v>
      </c>
      <c r="CA175" s="43">
        <f>SUM(tblSOW8[[#This Row],[Oct 2023 USD]:[Dec 2023 USD]])</f>
        <v>0</v>
      </c>
    </row>
    <row r="176" spans="1:79" s="36" customFormat="1">
      <c r="A176" s="5"/>
      <c r="B176" s="5"/>
      <c r="C176" s="5"/>
      <c r="D176" s="39"/>
      <c r="E176" s="40"/>
      <c r="F176" s="39"/>
      <c r="G176" s="5"/>
      <c r="H176" s="5"/>
      <c r="I176" s="3"/>
      <c r="J176" s="3"/>
      <c r="K176" s="3"/>
      <c r="L176" s="85"/>
      <c r="M176" s="45"/>
      <c r="N176" s="5"/>
      <c r="O176" s="3"/>
      <c r="P176" s="8"/>
      <c r="Q176" s="8"/>
      <c r="R176" s="5"/>
      <c r="S176" s="5"/>
      <c r="T176" s="3"/>
      <c r="U176" s="116"/>
      <c r="V176" s="3"/>
      <c r="W176" s="3"/>
      <c r="X176" s="5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>
        <f t="shared" si="16"/>
        <v>0</v>
      </c>
      <c r="BQ176" s="43">
        <f t="shared" si="16"/>
        <v>0</v>
      </c>
      <c r="BR176" s="43">
        <f t="shared" si="16"/>
        <v>0</v>
      </c>
      <c r="BS176" s="43">
        <f t="shared" si="16"/>
        <v>0</v>
      </c>
      <c r="BT176" s="43">
        <f t="shared" si="16"/>
        <v>0</v>
      </c>
      <c r="BU176" s="43">
        <f>SUM(tblSOW8[[#This Row],[P1]:[P12]])</f>
        <v>0</v>
      </c>
      <c r="BV176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76" s="43">
        <f>IFERROR(VLOOKUP(K176,[30]Parameters!BN:BW,10,0),0)</f>
        <v>0</v>
      </c>
      <c r="BX176" s="43">
        <f>SUM(tblSOW8[[#This Row],[Jan 2023 USD]:[Mar 2023 USD]])</f>
        <v>0</v>
      </c>
      <c r="BY176" s="43">
        <f>SUM(tblSOW8[[#This Row],[Apr 2023 USD]:[Jun 2023 USD]])</f>
        <v>0</v>
      </c>
      <c r="BZ176" s="43">
        <f>SUM(tblSOW8[[#This Row],[Jul 2023 USD]:[Sep 2023 USD]])</f>
        <v>0</v>
      </c>
      <c r="CA176" s="43">
        <f>SUM(tblSOW8[[#This Row],[Oct 2023 USD]:[Dec 2023 USD]])</f>
        <v>0</v>
      </c>
    </row>
    <row r="177" spans="1:79" s="36" customFormat="1">
      <c r="A177" s="5"/>
      <c r="B177" s="5"/>
      <c r="C177" s="5"/>
      <c r="D177" s="39"/>
      <c r="E177" s="40"/>
      <c r="F177" s="39"/>
      <c r="G177" s="5"/>
      <c r="H177" s="5"/>
      <c r="I177" s="3"/>
      <c r="J177" s="3"/>
      <c r="K177" s="3"/>
      <c r="L177" s="85"/>
      <c r="M177" s="45"/>
      <c r="N177" s="5"/>
      <c r="O177" s="3"/>
      <c r="P177" s="8"/>
      <c r="Q177" s="8"/>
      <c r="R177" s="5"/>
      <c r="S177" s="5"/>
      <c r="T177" s="3"/>
      <c r="U177" s="116"/>
      <c r="V177" s="3"/>
      <c r="W177" s="3"/>
      <c r="X177" s="5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>
        <f t="shared" si="16"/>
        <v>0</v>
      </c>
      <c r="BQ177" s="43">
        <f t="shared" si="16"/>
        <v>0</v>
      </c>
      <c r="BR177" s="43">
        <f t="shared" si="16"/>
        <v>0</v>
      </c>
      <c r="BS177" s="43">
        <f t="shared" si="16"/>
        <v>0</v>
      </c>
      <c r="BT177" s="43">
        <f t="shared" si="16"/>
        <v>0</v>
      </c>
      <c r="BU177" s="43">
        <f>SUM(tblSOW8[[#This Row],[P1]:[P12]])</f>
        <v>0</v>
      </c>
      <c r="BV177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77" s="43">
        <f>IFERROR(VLOOKUP(K177,[30]Parameters!BN:BW,10,0),0)</f>
        <v>0</v>
      </c>
      <c r="BX177" s="43">
        <f>SUM(tblSOW8[[#This Row],[Jan 2023 USD]:[Mar 2023 USD]])</f>
        <v>0</v>
      </c>
      <c r="BY177" s="43">
        <f>SUM(tblSOW8[[#This Row],[Apr 2023 USD]:[Jun 2023 USD]])</f>
        <v>0</v>
      </c>
      <c r="BZ177" s="43">
        <f>SUM(tblSOW8[[#This Row],[Jul 2023 USD]:[Sep 2023 USD]])</f>
        <v>0</v>
      </c>
      <c r="CA177" s="43">
        <f>SUM(tblSOW8[[#This Row],[Oct 2023 USD]:[Dec 2023 USD]])</f>
        <v>0</v>
      </c>
    </row>
    <row r="178" spans="1:79" s="36" customFormat="1">
      <c r="A178" s="5"/>
      <c r="B178" s="5"/>
      <c r="C178" s="5"/>
      <c r="D178" s="39"/>
      <c r="E178" s="40"/>
      <c r="F178" s="39"/>
      <c r="G178" s="5"/>
      <c r="H178" s="5"/>
      <c r="I178" s="3"/>
      <c r="J178" s="3"/>
      <c r="K178" s="3"/>
      <c r="L178" s="85"/>
      <c r="M178" s="45"/>
      <c r="N178" s="5"/>
      <c r="O178" s="3"/>
      <c r="P178" s="8"/>
      <c r="Q178" s="8"/>
      <c r="R178" s="5"/>
      <c r="S178" s="5"/>
      <c r="T178" s="3"/>
      <c r="U178" s="3"/>
      <c r="V178" s="3"/>
      <c r="W178" s="3"/>
      <c r="X178" s="5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>
        <f t="shared" si="16"/>
        <v>0</v>
      </c>
      <c r="BQ178" s="43">
        <f t="shared" si="16"/>
        <v>0</v>
      </c>
      <c r="BR178" s="43">
        <f t="shared" si="16"/>
        <v>0</v>
      </c>
      <c r="BS178" s="43">
        <f t="shared" si="16"/>
        <v>0</v>
      </c>
      <c r="BT178" s="43">
        <f t="shared" si="16"/>
        <v>0</v>
      </c>
      <c r="BU178" s="43">
        <f>SUM(tblSOW8[[#This Row],[P1]:[P12]])</f>
        <v>0</v>
      </c>
      <c r="BV178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78" s="43">
        <f>IFERROR(VLOOKUP(K178,[30]Parameters!BN:BW,10,0),0)</f>
        <v>0</v>
      </c>
      <c r="BX178" s="43">
        <f>SUM(tblSOW8[[#This Row],[Jan 2023 USD]:[Mar 2023 USD]])</f>
        <v>0</v>
      </c>
      <c r="BY178" s="43">
        <f>SUM(tblSOW8[[#This Row],[Apr 2023 USD]:[Jun 2023 USD]])</f>
        <v>0</v>
      </c>
      <c r="BZ178" s="43">
        <f>SUM(tblSOW8[[#This Row],[Jul 2023 USD]:[Sep 2023 USD]])</f>
        <v>0</v>
      </c>
      <c r="CA178" s="43">
        <f>SUM(tblSOW8[[#This Row],[Oct 2023 USD]:[Dec 2023 USD]])</f>
        <v>0</v>
      </c>
    </row>
    <row r="179" spans="1:79" s="36" customFormat="1">
      <c r="A179" s="5"/>
      <c r="B179" s="5"/>
      <c r="C179" s="5"/>
      <c r="D179" s="39"/>
      <c r="E179" s="40"/>
      <c r="F179" s="39"/>
      <c r="G179" s="5"/>
      <c r="H179" s="5"/>
      <c r="I179" s="3"/>
      <c r="J179" s="3"/>
      <c r="K179" s="3"/>
      <c r="L179" s="85"/>
      <c r="M179" s="45"/>
      <c r="N179" s="5"/>
      <c r="O179" s="3"/>
      <c r="P179" s="8"/>
      <c r="Q179" s="8"/>
      <c r="R179" s="5"/>
      <c r="S179" s="5"/>
      <c r="T179" s="3"/>
      <c r="U179" s="116"/>
      <c r="V179" s="3"/>
      <c r="W179" s="3"/>
      <c r="X179" s="5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>
        <f t="shared" si="16"/>
        <v>0</v>
      </c>
      <c r="BQ179" s="43">
        <f t="shared" si="16"/>
        <v>0</v>
      </c>
      <c r="BR179" s="43">
        <f t="shared" si="16"/>
        <v>0</v>
      </c>
      <c r="BS179" s="43">
        <f t="shared" si="16"/>
        <v>0</v>
      </c>
      <c r="BT179" s="43">
        <f t="shared" si="16"/>
        <v>0</v>
      </c>
      <c r="BU179" s="43">
        <f>SUM(tblSOW8[[#This Row],[P1]:[P12]])</f>
        <v>0</v>
      </c>
      <c r="BV179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79" s="43">
        <f>IFERROR(VLOOKUP(K179,[30]Parameters!BN:BW,10,0),0)</f>
        <v>0</v>
      </c>
      <c r="BX179" s="43">
        <f>SUM(tblSOW8[[#This Row],[Jan 2023 USD]:[Mar 2023 USD]])</f>
        <v>0</v>
      </c>
      <c r="BY179" s="43">
        <f>SUM(tblSOW8[[#This Row],[Apr 2023 USD]:[Jun 2023 USD]])</f>
        <v>0</v>
      </c>
      <c r="BZ179" s="43">
        <f>SUM(tblSOW8[[#This Row],[Jul 2023 USD]:[Sep 2023 USD]])</f>
        <v>0</v>
      </c>
      <c r="CA179" s="43">
        <f>SUM(tblSOW8[[#This Row],[Oct 2023 USD]:[Dec 2023 USD]])</f>
        <v>0</v>
      </c>
    </row>
    <row r="180" spans="1:79" s="36" customFormat="1">
      <c r="A180" s="5"/>
      <c r="B180" s="5"/>
      <c r="C180" s="5"/>
      <c r="D180" s="39"/>
      <c r="E180" s="40"/>
      <c r="F180" s="39"/>
      <c r="G180" s="5"/>
      <c r="H180" s="5"/>
      <c r="I180" s="3"/>
      <c r="J180" s="3"/>
      <c r="K180" s="3"/>
      <c r="L180" s="85"/>
      <c r="M180" s="45"/>
      <c r="N180" s="5"/>
      <c r="O180" s="3"/>
      <c r="P180" s="8"/>
      <c r="Q180" s="8"/>
      <c r="R180" s="5"/>
      <c r="S180" s="5"/>
      <c r="T180" s="3"/>
      <c r="U180" s="116"/>
      <c r="V180" s="3"/>
      <c r="W180" s="3"/>
      <c r="X180" s="5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>
        <f t="shared" si="16"/>
        <v>0</v>
      </c>
      <c r="BQ180" s="43">
        <f t="shared" si="16"/>
        <v>0</v>
      </c>
      <c r="BR180" s="43">
        <f t="shared" si="16"/>
        <v>0</v>
      </c>
      <c r="BS180" s="43">
        <f t="shared" si="16"/>
        <v>0</v>
      </c>
      <c r="BT180" s="43">
        <f t="shared" si="16"/>
        <v>0</v>
      </c>
      <c r="BU180" s="43">
        <f>SUM(tblSOW8[[#This Row],[P1]:[P12]])</f>
        <v>0</v>
      </c>
      <c r="BV180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80" s="43">
        <f>IFERROR(VLOOKUP(K180,[30]Parameters!BN:BW,10,0),0)</f>
        <v>0</v>
      </c>
      <c r="BX180" s="43">
        <f>SUM(tblSOW8[[#This Row],[Jan 2023 USD]:[Mar 2023 USD]])</f>
        <v>0</v>
      </c>
      <c r="BY180" s="43">
        <f>SUM(tblSOW8[[#This Row],[Apr 2023 USD]:[Jun 2023 USD]])</f>
        <v>0</v>
      </c>
      <c r="BZ180" s="43">
        <f>SUM(tblSOW8[[#This Row],[Jul 2023 USD]:[Sep 2023 USD]])</f>
        <v>0</v>
      </c>
      <c r="CA180" s="43">
        <f>SUM(tblSOW8[[#This Row],[Oct 2023 USD]:[Dec 2023 USD]])</f>
        <v>0</v>
      </c>
    </row>
    <row r="181" spans="1:79" s="36" customFormat="1">
      <c r="A181" s="5"/>
      <c r="B181" s="5"/>
      <c r="C181" s="5"/>
      <c r="D181" s="39"/>
      <c r="E181" s="40"/>
      <c r="F181" s="39"/>
      <c r="G181" s="5"/>
      <c r="H181" s="5"/>
      <c r="I181" s="3"/>
      <c r="J181" s="3"/>
      <c r="K181" s="3"/>
      <c r="L181" s="85"/>
      <c r="M181" s="45"/>
      <c r="N181" s="5"/>
      <c r="O181" s="3"/>
      <c r="P181" s="8"/>
      <c r="Q181" s="8"/>
      <c r="R181" s="5"/>
      <c r="S181" s="5"/>
      <c r="T181" s="3"/>
      <c r="U181" s="3"/>
      <c r="V181" s="3"/>
      <c r="W181" s="3"/>
      <c r="X181" s="5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>
        <f t="shared" si="16"/>
        <v>0</v>
      </c>
      <c r="BQ181" s="43">
        <f t="shared" si="16"/>
        <v>0</v>
      </c>
      <c r="BR181" s="43">
        <f t="shared" si="16"/>
        <v>0</v>
      </c>
      <c r="BS181" s="43">
        <f t="shared" si="16"/>
        <v>0</v>
      </c>
      <c r="BT181" s="43">
        <f t="shared" si="16"/>
        <v>0</v>
      </c>
      <c r="BU181" s="43">
        <f>SUM(tblSOW8[[#This Row],[P1]:[P12]])</f>
        <v>0</v>
      </c>
      <c r="BV181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81" s="43">
        <f>IFERROR(VLOOKUP(K181,[30]Parameters!BN:BW,10,0),0)</f>
        <v>0</v>
      </c>
      <c r="BX181" s="43">
        <f>SUM(tblSOW8[[#This Row],[Jan 2023 USD]:[Mar 2023 USD]])</f>
        <v>0</v>
      </c>
      <c r="BY181" s="43">
        <f>SUM(tblSOW8[[#This Row],[Apr 2023 USD]:[Jun 2023 USD]])</f>
        <v>0</v>
      </c>
      <c r="BZ181" s="43">
        <f>SUM(tblSOW8[[#This Row],[Jul 2023 USD]:[Sep 2023 USD]])</f>
        <v>0</v>
      </c>
      <c r="CA181" s="43">
        <f>SUM(tblSOW8[[#This Row],[Oct 2023 USD]:[Dec 2023 USD]])</f>
        <v>0</v>
      </c>
    </row>
    <row r="182" spans="1:79" s="36" customFormat="1">
      <c r="A182" s="5"/>
      <c r="B182" s="5"/>
      <c r="C182" s="5"/>
      <c r="D182" s="39"/>
      <c r="E182" s="40"/>
      <c r="F182" s="39"/>
      <c r="G182" s="5"/>
      <c r="H182" s="5"/>
      <c r="I182" s="3"/>
      <c r="J182" s="3"/>
      <c r="K182" s="3"/>
      <c r="L182" s="85"/>
      <c r="M182" s="45"/>
      <c r="N182" s="5"/>
      <c r="O182" s="3"/>
      <c r="P182" s="8"/>
      <c r="Q182" s="8"/>
      <c r="R182" s="5"/>
      <c r="S182" s="5"/>
      <c r="T182" s="3"/>
      <c r="U182" s="116"/>
      <c r="V182" s="3"/>
      <c r="W182" s="3"/>
      <c r="X182" s="5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>
        <f t="shared" si="16"/>
        <v>0</v>
      </c>
      <c r="BQ182" s="43">
        <f t="shared" si="16"/>
        <v>0</v>
      </c>
      <c r="BR182" s="43">
        <f t="shared" si="16"/>
        <v>0</v>
      </c>
      <c r="BS182" s="43">
        <f t="shared" si="16"/>
        <v>0</v>
      </c>
      <c r="BT182" s="43">
        <f t="shared" si="16"/>
        <v>0</v>
      </c>
      <c r="BU182" s="43">
        <f>SUM(tblSOW8[[#This Row],[P1]:[P12]])</f>
        <v>0</v>
      </c>
      <c r="BV182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82" s="43">
        <f>IFERROR(VLOOKUP(K182,[30]Parameters!BN:BW,10,0),0)</f>
        <v>0</v>
      </c>
      <c r="BX182" s="43">
        <f>SUM(tblSOW8[[#This Row],[Jan 2023 USD]:[Mar 2023 USD]])</f>
        <v>0</v>
      </c>
      <c r="BY182" s="43">
        <f>SUM(tblSOW8[[#This Row],[Apr 2023 USD]:[Jun 2023 USD]])</f>
        <v>0</v>
      </c>
      <c r="BZ182" s="43">
        <f>SUM(tblSOW8[[#This Row],[Jul 2023 USD]:[Sep 2023 USD]])</f>
        <v>0</v>
      </c>
      <c r="CA182" s="43">
        <f>SUM(tblSOW8[[#This Row],[Oct 2023 USD]:[Dec 2023 USD]])</f>
        <v>0</v>
      </c>
    </row>
    <row r="183" spans="1:79" s="36" customFormat="1">
      <c r="A183" s="5"/>
      <c r="B183" s="5"/>
      <c r="C183" s="5"/>
      <c r="D183" s="39"/>
      <c r="E183" s="40"/>
      <c r="F183" s="39"/>
      <c r="G183" s="5"/>
      <c r="H183" s="5"/>
      <c r="I183" s="3"/>
      <c r="J183" s="3"/>
      <c r="K183" s="3"/>
      <c r="L183" s="85"/>
      <c r="M183" s="45"/>
      <c r="N183" s="5"/>
      <c r="O183" s="3"/>
      <c r="P183" s="8"/>
      <c r="Q183" s="8"/>
      <c r="R183" s="5"/>
      <c r="S183" s="5"/>
      <c r="T183" s="3"/>
      <c r="U183" s="3"/>
      <c r="V183" s="3"/>
      <c r="W183" s="3"/>
      <c r="X183" s="5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>
        <f t="shared" ref="BP183:BT210" si="17">IF($S183&gt;0,IF(AND(MONTH($P183)&lt;=BP$1,MONTH($Q183)&gt;=BP$1),1,0),0)</f>
        <v>0</v>
      </c>
      <c r="BQ183" s="43">
        <f t="shared" si="17"/>
        <v>0</v>
      </c>
      <c r="BR183" s="43">
        <f t="shared" si="17"/>
        <v>0</v>
      </c>
      <c r="BS183" s="43">
        <f t="shared" si="17"/>
        <v>0</v>
      </c>
      <c r="BT183" s="43">
        <f t="shared" si="17"/>
        <v>0</v>
      </c>
      <c r="BU183" s="43">
        <f>SUM(tblSOW8[[#This Row],[P1]:[P12]])</f>
        <v>0</v>
      </c>
      <c r="BV183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83" s="43">
        <f>IFERROR(VLOOKUP(K183,[30]Parameters!BN:BW,10,0),0)</f>
        <v>0</v>
      </c>
      <c r="BX183" s="43">
        <f>SUM(tblSOW8[[#This Row],[Jan 2023 USD]:[Mar 2023 USD]])</f>
        <v>0</v>
      </c>
      <c r="BY183" s="43">
        <f>SUM(tblSOW8[[#This Row],[Apr 2023 USD]:[Jun 2023 USD]])</f>
        <v>0</v>
      </c>
      <c r="BZ183" s="43">
        <f>SUM(tblSOW8[[#This Row],[Jul 2023 USD]:[Sep 2023 USD]])</f>
        <v>0</v>
      </c>
      <c r="CA183" s="43">
        <f>SUM(tblSOW8[[#This Row],[Oct 2023 USD]:[Dec 2023 USD]])</f>
        <v>0</v>
      </c>
    </row>
    <row r="184" spans="1:79" s="36" customFormat="1">
      <c r="A184" s="5"/>
      <c r="B184" s="5"/>
      <c r="C184" s="5"/>
      <c r="D184" s="39"/>
      <c r="E184" s="40"/>
      <c r="F184" s="39"/>
      <c r="G184" s="5"/>
      <c r="H184" s="5"/>
      <c r="I184" s="3"/>
      <c r="J184" s="3"/>
      <c r="K184" s="3"/>
      <c r="L184" s="85"/>
      <c r="M184" s="45"/>
      <c r="N184" s="5"/>
      <c r="O184" s="3"/>
      <c r="P184" s="8"/>
      <c r="Q184" s="8"/>
      <c r="R184" s="5"/>
      <c r="S184" s="5"/>
      <c r="T184" s="3"/>
      <c r="U184" s="116"/>
      <c r="V184" s="3"/>
      <c r="W184" s="3"/>
      <c r="X184" s="5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>
        <f t="shared" si="17"/>
        <v>0</v>
      </c>
      <c r="BQ184" s="43">
        <f t="shared" si="17"/>
        <v>0</v>
      </c>
      <c r="BR184" s="43">
        <f t="shared" si="17"/>
        <v>0</v>
      </c>
      <c r="BS184" s="43">
        <f t="shared" si="17"/>
        <v>0</v>
      </c>
      <c r="BT184" s="43">
        <f t="shared" si="17"/>
        <v>0</v>
      </c>
      <c r="BU184" s="43">
        <f>SUM(tblSOW8[[#This Row],[P1]:[P12]])</f>
        <v>0</v>
      </c>
      <c r="BV184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84" s="43">
        <f>IFERROR(VLOOKUP(K184,[30]Parameters!BN:BW,10,0),0)</f>
        <v>0</v>
      </c>
      <c r="BX184" s="43">
        <f>SUM(tblSOW8[[#This Row],[Jan 2023 USD]:[Mar 2023 USD]])</f>
        <v>0</v>
      </c>
      <c r="BY184" s="43">
        <f>SUM(tblSOW8[[#This Row],[Apr 2023 USD]:[Jun 2023 USD]])</f>
        <v>0</v>
      </c>
      <c r="BZ184" s="43">
        <f>SUM(tblSOW8[[#This Row],[Jul 2023 USD]:[Sep 2023 USD]])</f>
        <v>0</v>
      </c>
      <c r="CA184" s="43">
        <f>SUM(tblSOW8[[#This Row],[Oct 2023 USD]:[Dec 2023 USD]])</f>
        <v>0</v>
      </c>
    </row>
    <row r="185" spans="1:79" s="36" customFormat="1">
      <c r="A185" s="5"/>
      <c r="B185" s="5"/>
      <c r="C185" s="5"/>
      <c r="D185" s="39"/>
      <c r="E185" s="40"/>
      <c r="F185" s="39"/>
      <c r="G185" s="5"/>
      <c r="H185" s="5"/>
      <c r="I185" s="3"/>
      <c r="J185" s="3"/>
      <c r="K185" s="3"/>
      <c r="L185" s="85"/>
      <c r="M185" s="45"/>
      <c r="N185" s="5"/>
      <c r="O185" s="3"/>
      <c r="P185" s="8"/>
      <c r="Q185" s="8"/>
      <c r="R185" s="5"/>
      <c r="S185" s="5"/>
      <c r="T185" s="3"/>
      <c r="U185" s="3"/>
      <c r="V185" s="3"/>
      <c r="W185" s="3"/>
      <c r="X185" s="5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>
        <f t="shared" si="17"/>
        <v>0</v>
      </c>
      <c r="BQ185" s="43">
        <f t="shared" si="17"/>
        <v>0</v>
      </c>
      <c r="BR185" s="43">
        <f t="shared" si="17"/>
        <v>0</v>
      </c>
      <c r="BS185" s="43">
        <f t="shared" si="17"/>
        <v>0</v>
      </c>
      <c r="BT185" s="43">
        <f t="shared" si="17"/>
        <v>0</v>
      </c>
      <c r="BU185" s="43">
        <f>SUM(tblSOW8[[#This Row],[P1]:[P12]])</f>
        <v>0</v>
      </c>
      <c r="BV185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85" s="43">
        <f>IFERROR(VLOOKUP(K185,[30]Parameters!BN:BW,10,0),0)</f>
        <v>0</v>
      </c>
      <c r="BX185" s="43">
        <f>SUM(tblSOW8[[#This Row],[Jan 2023 USD]:[Mar 2023 USD]])</f>
        <v>0</v>
      </c>
      <c r="BY185" s="43">
        <f>SUM(tblSOW8[[#This Row],[Apr 2023 USD]:[Jun 2023 USD]])</f>
        <v>0</v>
      </c>
      <c r="BZ185" s="43">
        <f>SUM(tblSOW8[[#This Row],[Jul 2023 USD]:[Sep 2023 USD]])</f>
        <v>0</v>
      </c>
      <c r="CA185" s="43">
        <f>SUM(tblSOW8[[#This Row],[Oct 2023 USD]:[Dec 2023 USD]])</f>
        <v>0</v>
      </c>
    </row>
    <row r="186" spans="1:79" s="36" customFormat="1">
      <c r="A186" s="5"/>
      <c r="B186" s="5"/>
      <c r="C186" s="5"/>
      <c r="D186" s="39"/>
      <c r="E186" s="40"/>
      <c r="F186" s="39"/>
      <c r="G186" s="5"/>
      <c r="H186" s="5"/>
      <c r="I186" s="3"/>
      <c r="J186" s="3"/>
      <c r="K186" s="3"/>
      <c r="L186" s="85"/>
      <c r="M186" s="45"/>
      <c r="N186" s="5"/>
      <c r="O186" s="3"/>
      <c r="P186" s="8"/>
      <c r="Q186" s="8"/>
      <c r="R186" s="5"/>
      <c r="S186" s="5"/>
      <c r="T186" s="3"/>
      <c r="U186" s="3"/>
      <c r="V186" s="3"/>
      <c r="W186" s="3"/>
      <c r="X186" s="5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>
        <f t="shared" si="17"/>
        <v>0</v>
      </c>
      <c r="BQ186" s="43">
        <f t="shared" si="17"/>
        <v>0</v>
      </c>
      <c r="BR186" s="43">
        <f t="shared" si="17"/>
        <v>0</v>
      </c>
      <c r="BS186" s="43">
        <f t="shared" si="17"/>
        <v>0</v>
      </c>
      <c r="BT186" s="43">
        <f t="shared" si="17"/>
        <v>0</v>
      </c>
      <c r="BU186" s="43">
        <f>SUM(tblSOW8[[#This Row],[P1]:[P12]])</f>
        <v>0</v>
      </c>
      <c r="BV186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86" s="43">
        <f>IFERROR(VLOOKUP(K186,[30]Parameters!BN:BW,10,0),0)</f>
        <v>0</v>
      </c>
      <c r="BX186" s="43">
        <f>SUM(tblSOW8[[#This Row],[Jan 2023 USD]:[Mar 2023 USD]])</f>
        <v>0</v>
      </c>
      <c r="BY186" s="43">
        <f>SUM(tblSOW8[[#This Row],[Apr 2023 USD]:[Jun 2023 USD]])</f>
        <v>0</v>
      </c>
      <c r="BZ186" s="43">
        <f>SUM(tblSOW8[[#This Row],[Jul 2023 USD]:[Sep 2023 USD]])</f>
        <v>0</v>
      </c>
      <c r="CA186" s="43">
        <f>SUM(tblSOW8[[#This Row],[Oct 2023 USD]:[Dec 2023 USD]])</f>
        <v>0</v>
      </c>
    </row>
    <row r="187" spans="1:79" s="36" customFormat="1">
      <c r="A187" s="5"/>
      <c r="B187" s="5"/>
      <c r="C187" s="5"/>
      <c r="D187" s="39"/>
      <c r="E187" s="40"/>
      <c r="F187" s="39"/>
      <c r="G187" s="5"/>
      <c r="H187" s="5"/>
      <c r="I187" s="3"/>
      <c r="J187" s="3"/>
      <c r="K187" s="3"/>
      <c r="L187" s="85"/>
      <c r="M187" s="45"/>
      <c r="N187" s="5"/>
      <c r="O187" s="3"/>
      <c r="P187" s="8"/>
      <c r="Q187" s="8"/>
      <c r="R187" s="5"/>
      <c r="S187" s="5"/>
      <c r="T187" s="3"/>
      <c r="U187" s="3"/>
      <c r="V187" s="3"/>
      <c r="W187" s="3"/>
      <c r="X187" s="5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>
        <f t="shared" si="17"/>
        <v>0</v>
      </c>
      <c r="BQ187" s="43">
        <f t="shared" si="17"/>
        <v>0</v>
      </c>
      <c r="BR187" s="43">
        <f t="shared" si="17"/>
        <v>0</v>
      </c>
      <c r="BS187" s="43">
        <f t="shared" si="17"/>
        <v>0</v>
      </c>
      <c r="BT187" s="43">
        <f t="shared" si="17"/>
        <v>0</v>
      </c>
      <c r="BU187" s="43">
        <f>SUM(tblSOW8[[#This Row],[P1]:[P12]])</f>
        <v>0</v>
      </c>
      <c r="BV187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87" s="43">
        <f>IFERROR(VLOOKUP(K187,[30]Parameters!BN:BW,10,0),0)</f>
        <v>0</v>
      </c>
      <c r="BX187" s="43">
        <f>SUM(tblSOW8[[#This Row],[Jan 2023 USD]:[Mar 2023 USD]])</f>
        <v>0</v>
      </c>
      <c r="BY187" s="43">
        <f>SUM(tblSOW8[[#This Row],[Apr 2023 USD]:[Jun 2023 USD]])</f>
        <v>0</v>
      </c>
      <c r="BZ187" s="43">
        <f>SUM(tblSOW8[[#This Row],[Jul 2023 USD]:[Sep 2023 USD]])</f>
        <v>0</v>
      </c>
      <c r="CA187" s="43">
        <f>SUM(tblSOW8[[#This Row],[Oct 2023 USD]:[Dec 2023 USD]])</f>
        <v>0</v>
      </c>
    </row>
    <row r="188" spans="1:79" s="36" customFormat="1">
      <c r="A188" s="5"/>
      <c r="B188" s="5"/>
      <c r="C188" s="5"/>
      <c r="D188" s="39"/>
      <c r="E188" s="40"/>
      <c r="F188" s="39"/>
      <c r="G188" s="5"/>
      <c r="H188" s="5"/>
      <c r="I188" s="3"/>
      <c r="J188" s="3"/>
      <c r="K188" s="3"/>
      <c r="L188" s="85"/>
      <c r="M188" s="45"/>
      <c r="N188" s="5"/>
      <c r="O188" s="3"/>
      <c r="P188" s="8"/>
      <c r="Q188" s="8"/>
      <c r="R188" s="5"/>
      <c r="S188" s="5"/>
      <c r="T188" s="3"/>
      <c r="U188" s="3"/>
      <c r="V188" s="3"/>
      <c r="W188" s="3"/>
      <c r="X188" s="5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>
        <f t="shared" si="17"/>
        <v>0</v>
      </c>
      <c r="BQ188" s="43">
        <f t="shared" si="17"/>
        <v>0</v>
      </c>
      <c r="BR188" s="43">
        <f t="shared" si="17"/>
        <v>0</v>
      </c>
      <c r="BS188" s="43">
        <f t="shared" si="17"/>
        <v>0</v>
      </c>
      <c r="BT188" s="43">
        <f t="shared" si="17"/>
        <v>0</v>
      </c>
      <c r="BU188" s="43">
        <f>SUM(tblSOW8[[#This Row],[P1]:[P12]])</f>
        <v>0</v>
      </c>
      <c r="BV188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88" s="43">
        <f>IFERROR(VLOOKUP(K188,[30]Parameters!BN:BW,10,0),0)</f>
        <v>0</v>
      </c>
      <c r="BX188" s="43">
        <f>SUM(tblSOW8[[#This Row],[Jan 2023 USD]:[Mar 2023 USD]])</f>
        <v>0</v>
      </c>
      <c r="BY188" s="43">
        <f>SUM(tblSOW8[[#This Row],[Apr 2023 USD]:[Jun 2023 USD]])</f>
        <v>0</v>
      </c>
      <c r="BZ188" s="43">
        <f>SUM(tblSOW8[[#This Row],[Jul 2023 USD]:[Sep 2023 USD]])</f>
        <v>0</v>
      </c>
      <c r="CA188" s="43">
        <f>SUM(tblSOW8[[#This Row],[Oct 2023 USD]:[Dec 2023 USD]])</f>
        <v>0</v>
      </c>
    </row>
    <row r="189" spans="1:79" s="36" customFormat="1">
      <c r="A189" s="5"/>
      <c r="B189" s="5"/>
      <c r="C189" s="5"/>
      <c r="D189" s="39"/>
      <c r="E189" s="40"/>
      <c r="F189" s="39"/>
      <c r="G189" s="5"/>
      <c r="H189" s="5"/>
      <c r="I189" s="3"/>
      <c r="J189" s="3"/>
      <c r="K189" s="3"/>
      <c r="L189" s="85"/>
      <c r="M189" s="45"/>
      <c r="N189" s="5"/>
      <c r="O189" s="3"/>
      <c r="P189" s="8"/>
      <c r="Q189" s="8"/>
      <c r="R189" s="5"/>
      <c r="S189" s="5"/>
      <c r="T189" s="3"/>
      <c r="U189" s="3"/>
      <c r="V189" s="5"/>
      <c r="W189" s="5"/>
      <c r="X189" s="5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>
        <f t="shared" si="17"/>
        <v>0</v>
      </c>
      <c r="BQ189" s="43">
        <f t="shared" si="17"/>
        <v>0</v>
      </c>
      <c r="BR189" s="43">
        <f t="shared" si="17"/>
        <v>0</v>
      </c>
      <c r="BS189" s="43">
        <f t="shared" si="17"/>
        <v>0</v>
      </c>
      <c r="BT189" s="43">
        <f t="shared" si="17"/>
        <v>0</v>
      </c>
      <c r="BU189" s="43">
        <f>SUM(tblSOW8[[#This Row],[P1]:[P12]])</f>
        <v>0</v>
      </c>
      <c r="BV189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89" s="43">
        <f>IFERROR(VLOOKUP(K189,[30]Parameters!BN:BW,10,0),0)</f>
        <v>0</v>
      </c>
      <c r="BX189" s="43">
        <f>SUM(tblSOW8[[#This Row],[Jan 2023 USD]:[Mar 2023 USD]])</f>
        <v>0</v>
      </c>
      <c r="BY189" s="43">
        <f>SUM(tblSOW8[[#This Row],[Apr 2023 USD]:[Jun 2023 USD]])</f>
        <v>0</v>
      </c>
      <c r="BZ189" s="43">
        <f>SUM(tblSOW8[[#This Row],[Jul 2023 USD]:[Sep 2023 USD]])</f>
        <v>0</v>
      </c>
      <c r="CA189" s="43">
        <f>SUM(tblSOW8[[#This Row],[Oct 2023 USD]:[Dec 2023 USD]])</f>
        <v>0</v>
      </c>
    </row>
    <row r="190" spans="1:79" s="36" customFormat="1">
      <c r="A190" s="5"/>
      <c r="B190" s="5"/>
      <c r="C190" s="5"/>
      <c r="D190" s="39"/>
      <c r="E190" s="40"/>
      <c r="F190" s="39"/>
      <c r="G190" s="5"/>
      <c r="H190" s="5"/>
      <c r="I190" s="3"/>
      <c r="J190" s="3"/>
      <c r="K190" s="3"/>
      <c r="L190" s="85"/>
      <c r="M190" s="45"/>
      <c r="N190" s="5"/>
      <c r="O190" s="3"/>
      <c r="P190" s="8"/>
      <c r="Q190" s="8"/>
      <c r="R190" s="5"/>
      <c r="S190" s="5"/>
      <c r="T190" s="3"/>
      <c r="U190" s="3"/>
      <c r="V190" s="5"/>
      <c r="W190" s="5"/>
      <c r="X190" s="5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>
        <f t="shared" si="17"/>
        <v>0</v>
      </c>
      <c r="BQ190" s="43">
        <f t="shared" si="17"/>
        <v>0</v>
      </c>
      <c r="BR190" s="43">
        <f t="shared" si="17"/>
        <v>0</v>
      </c>
      <c r="BS190" s="43">
        <f t="shared" si="17"/>
        <v>0</v>
      </c>
      <c r="BT190" s="43">
        <f t="shared" si="17"/>
        <v>0</v>
      </c>
      <c r="BU190" s="43">
        <f>SUM(tblSOW8[[#This Row],[P1]:[P12]])</f>
        <v>0</v>
      </c>
      <c r="BV190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90" s="43">
        <f>IFERROR(VLOOKUP(K190,[30]Parameters!BN:BW,10,0),0)</f>
        <v>0</v>
      </c>
      <c r="BX190" s="43">
        <f>SUM(tblSOW8[[#This Row],[Jan 2023 USD]:[Mar 2023 USD]])</f>
        <v>0</v>
      </c>
      <c r="BY190" s="43">
        <f>SUM(tblSOW8[[#This Row],[Apr 2023 USD]:[Jun 2023 USD]])</f>
        <v>0</v>
      </c>
      <c r="BZ190" s="43">
        <f>SUM(tblSOW8[[#This Row],[Jul 2023 USD]:[Sep 2023 USD]])</f>
        <v>0</v>
      </c>
      <c r="CA190" s="43">
        <f>SUM(tblSOW8[[#This Row],[Oct 2023 USD]:[Dec 2023 USD]])</f>
        <v>0</v>
      </c>
    </row>
    <row r="191" spans="1:79" s="36" customFormat="1">
      <c r="A191" s="5"/>
      <c r="B191" s="5"/>
      <c r="C191" s="5"/>
      <c r="D191" s="39"/>
      <c r="E191" s="40"/>
      <c r="F191" s="39"/>
      <c r="G191" s="5"/>
      <c r="H191" s="5"/>
      <c r="I191" s="3"/>
      <c r="J191" s="3"/>
      <c r="K191" s="3"/>
      <c r="L191" s="85"/>
      <c r="M191" s="45"/>
      <c r="N191" s="5"/>
      <c r="O191" s="3"/>
      <c r="P191" s="8"/>
      <c r="Q191" s="8"/>
      <c r="R191" s="5"/>
      <c r="S191" s="5"/>
      <c r="T191" s="3"/>
      <c r="U191" s="3"/>
      <c r="V191" s="5"/>
      <c r="W191" s="5"/>
      <c r="X191" s="5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>
        <f t="shared" si="17"/>
        <v>0</v>
      </c>
      <c r="BQ191" s="43">
        <f t="shared" si="17"/>
        <v>0</v>
      </c>
      <c r="BR191" s="43">
        <f t="shared" si="17"/>
        <v>0</v>
      </c>
      <c r="BS191" s="43">
        <f t="shared" si="17"/>
        <v>0</v>
      </c>
      <c r="BT191" s="43">
        <f t="shared" si="17"/>
        <v>0</v>
      </c>
      <c r="BU191" s="43">
        <f>SUM(tblSOW8[[#This Row],[P1]:[P12]])</f>
        <v>0</v>
      </c>
      <c r="BV191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91" s="43">
        <f>IFERROR(VLOOKUP(K191,[30]Parameters!BN:BW,10,0),0)</f>
        <v>0</v>
      </c>
      <c r="BX191" s="43">
        <f>SUM(tblSOW8[[#This Row],[Jan 2023 USD]:[Mar 2023 USD]])</f>
        <v>0</v>
      </c>
      <c r="BY191" s="43">
        <f>SUM(tblSOW8[[#This Row],[Apr 2023 USD]:[Jun 2023 USD]])</f>
        <v>0</v>
      </c>
      <c r="BZ191" s="43">
        <f>SUM(tblSOW8[[#This Row],[Jul 2023 USD]:[Sep 2023 USD]])</f>
        <v>0</v>
      </c>
      <c r="CA191" s="43">
        <f>SUM(tblSOW8[[#This Row],[Oct 2023 USD]:[Dec 2023 USD]])</f>
        <v>0</v>
      </c>
    </row>
    <row r="192" spans="1:79" s="36" customFormat="1">
      <c r="A192" s="5"/>
      <c r="B192" s="5"/>
      <c r="C192" s="5"/>
      <c r="D192" s="39"/>
      <c r="E192" s="40"/>
      <c r="F192" s="39"/>
      <c r="G192" s="5"/>
      <c r="H192" s="5"/>
      <c r="I192" s="3"/>
      <c r="J192" s="3"/>
      <c r="K192" s="3"/>
      <c r="L192" s="85"/>
      <c r="M192" s="45"/>
      <c r="N192" s="5"/>
      <c r="O192" s="3"/>
      <c r="P192" s="8"/>
      <c r="Q192" s="8"/>
      <c r="R192" s="5"/>
      <c r="S192" s="5"/>
      <c r="T192" s="3"/>
      <c r="U192" s="3"/>
      <c r="V192" s="5"/>
      <c r="W192" s="5"/>
      <c r="X192" s="5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>
        <f t="shared" si="17"/>
        <v>0</v>
      </c>
      <c r="BQ192" s="43">
        <f t="shared" si="17"/>
        <v>0</v>
      </c>
      <c r="BR192" s="43">
        <f t="shared" si="17"/>
        <v>0</v>
      </c>
      <c r="BS192" s="43">
        <f t="shared" si="17"/>
        <v>0</v>
      </c>
      <c r="BT192" s="43">
        <f t="shared" si="17"/>
        <v>0</v>
      </c>
      <c r="BU192" s="43">
        <f>SUM(tblSOW8[[#This Row],[P1]:[P12]])</f>
        <v>0</v>
      </c>
      <c r="BV192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92" s="43">
        <f>IFERROR(VLOOKUP(K192,[30]Parameters!BN:BW,10,0),0)</f>
        <v>0</v>
      </c>
      <c r="BX192" s="43">
        <f>SUM(tblSOW8[[#This Row],[Jan 2023 USD]:[Mar 2023 USD]])</f>
        <v>0</v>
      </c>
      <c r="BY192" s="43">
        <f>SUM(tblSOW8[[#This Row],[Apr 2023 USD]:[Jun 2023 USD]])</f>
        <v>0</v>
      </c>
      <c r="BZ192" s="43">
        <f>SUM(tblSOW8[[#This Row],[Jul 2023 USD]:[Sep 2023 USD]])</f>
        <v>0</v>
      </c>
      <c r="CA192" s="43">
        <f>SUM(tblSOW8[[#This Row],[Oct 2023 USD]:[Dec 2023 USD]])</f>
        <v>0</v>
      </c>
    </row>
    <row r="193" spans="1:79" s="36" customFormat="1">
      <c r="A193" s="5"/>
      <c r="B193" s="5"/>
      <c r="C193" s="5"/>
      <c r="D193" s="39"/>
      <c r="E193" s="40"/>
      <c r="F193" s="39"/>
      <c r="G193" s="5"/>
      <c r="H193" s="5"/>
      <c r="I193" s="3"/>
      <c r="J193" s="3"/>
      <c r="K193" s="3"/>
      <c r="L193" s="85"/>
      <c r="M193" s="45"/>
      <c r="N193" s="5"/>
      <c r="O193" s="3"/>
      <c r="P193" s="8"/>
      <c r="Q193" s="8"/>
      <c r="R193" s="5"/>
      <c r="S193" s="5"/>
      <c r="T193" s="3"/>
      <c r="U193" s="3"/>
      <c r="V193" s="5"/>
      <c r="W193" s="5"/>
      <c r="X193" s="5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>
        <f t="shared" si="17"/>
        <v>0</v>
      </c>
      <c r="BQ193" s="43">
        <f t="shared" si="17"/>
        <v>0</v>
      </c>
      <c r="BR193" s="43">
        <f t="shared" si="17"/>
        <v>0</v>
      </c>
      <c r="BS193" s="43">
        <f t="shared" si="17"/>
        <v>0</v>
      </c>
      <c r="BT193" s="43">
        <f t="shared" si="17"/>
        <v>0</v>
      </c>
      <c r="BU193" s="43">
        <f>SUM(tblSOW8[[#This Row],[P1]:[P12]])</f>
        <v>0</v>
      </c>
      <c r="BV193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93" s="43">
        <f>IFERROR(VLOOKUP(K193,[30]Parameters!BN:BW,10,0),0)</f>
        <v>0</v>
      </c>
      <c r="BX193" s="43">
        <f>SUM(tblSOW8[[#This Row],[Jan 2023 USD]:[Mar 2023 USD]])</f>
        <v>0</v>
      </c>
      <c r="BY193" s="43">
        <f>SUM(tblSOW8[[#This Row],[Apr 2023 USD]:[Jun 2023 USD]])</f>
        <v>0</v>
      </c>
      <c r="BZ193" s="43">
        <f>SUM(tblSOW8[[#This Row],[Jul 2023 USD]:[Sep 2023 USD]])</f>
        <v>0</v>
      </c>
      <c r="CA193" s="43">
        <f>SUM(tblSOW8[[#This Row],[Oct 2023 USD]:[Dec 2023 USD]])</f>
        <v>0</v>
      </c>
    </row>
    <row r="194" spans="1:79" s="36" customFormat="1">
      <c r="A194" s="5"/>
      <c r="B194" s="5"/>
      <c r="C194" s="5"/>
      <c r="D194" s="39"/>
      <c r="E194" s="40"/>
      <c r="F194" s="39"/>
      <c r="G194" s="5"/>
      <c r="H194" s="5"/>
      <c r="I194" s="3"/>
      <c r="J194" s="3"/>
      <c r="K194" s="3"/>
      <c r="L194" s="85"/>
      <c r="M194" s="45"/>
      <c r="N194" s="5"/>
      <c r="O194" s="3"/>
      <c r="P194" s="8"/>
      <c r="Q194" s="8"/>
      <c r="R194" s="5"/>
      <c r="S194" s="5"/>
      <c r="T194" s="3"/>
      <c r="U194" s="3"/>
      <c r="V194" s="5"/>
      <c r="W194" s="5"/>
      <c r="X194" s="5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>
        <f t="shared" si="17"/>
        <v>0</v>
      </c>
      <c r="BQ194" s="43">
        <f t="shared" si="17"/>
        <v>0</v>
      </c>
      <c r="BR194" s="43">
        <f t="shared" si="17"/>
        <v>0</v>
      </c>
      <c r="BS194" s="43">
        <f t="shared" si="17"/>
        <v>0</v>
      </c>
      <c r="BT194" s="43">
        <f t="shared" si="17"/>
        <v>0</v>
      </c>
      <c r="BU194" s="43">
        <f>SUM(tblSOW8[[#This Row],[P1]:[P12]])</f>
        <v>0</v>
      </c>
      <c r="BV194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94" s="43">
        <f>IFERROR(VLOOKUP(K194,[30]Parameters!BN:BW,10,0),0)</f>
        <v>0</v>
      </c>
      <c r="BX194" s="43">
        <f>SUM(tblSOW8[[#This Row],[Jan 2023 USD]:[Mar 2023 USD]])</f>
        <v>0</v>
      </c>
      <c r="BY194" s="43">
        <f>SUM(tblSOW8[[#This Row],[Apr 2023 USD]:[Jun 2023 USD]])</f>
        <v>0</v>
      </c>
      <c r="BZ194" s="43">
        <f>SUM(tblSOW8[[#This Row],[Jul 2023 USD]:[Sep 2023 USD]])</f>
        <v>0</v>
      </c>
      <c r="CA194" s="43">
        <f>SUM(tblSOW8[[#This Row],[Oct 2023 USD]:[Dec 2023 USD]])</f>
        <v>0</v>
      </c>
    </row>
    <row r="195" spans="1:79" s="36" customFormat="1">
      <c r="A195" s="5"/>
      <c r="B195" s="5"/>
      <c r="C195" s="5"/>
      <c r="D195" s="39"/>
      <c r="E195" s="40"/>
      <c r="F195" s="39"/>
      <c r="G195" s="5"/>
      <c r="H195" s="5"/>
      <c r="I195" s="3"/>
      <c r="J195" s="3"/>
      <c r="K195" s="3"/>
      <c r="L195" s="85"/>
      <c r="M195" s="45"/>
      <c r="N195" s="5"/>
      <c r="O195" s="3"/>
      <c r="P195" s="8"/>
      <c r="Q195" s="8"/>
      <c r="R195" s="5"/>
      <c r="S195" s="5"/>
      <c r="T195" s="3"/>
      <c r="U195" s="3"/>
      <c r="V195" s="3"/>
      <c r="W195" s="3"/>
      <c r="X195" s="5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>
        <f t="shared" si="17"/>
        <v>0</v>
      </c>
      <c r="BQ195" s="43">
        <f t="shared" si="17"/>
        <v>0</v>
      </c>
      <c r="BR195" s="43">
        <f t="shared" si="17"/>
        <v>0</v>
      </c>
      <c r="BS195" s="43">
        <f t="shared" si="17"/>
        <v>0</v>
      </c>
      <c r="BT195" s="43">
        <f t="shared" si="17"/>
        <v>0</v>
      </c>
      <c r="BU195" s="43">
        <f>SUM(tblSOW8[[#This Row],[P1]:[P12]])</f>
        <v>0</v>
      </c>
      <c r="BV195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95" s="43">
        <f>IFERROR(VLOOKUP(K195,[30]Parameters!BN:BW,10,0),0)</f>
        <v>0</v>
      </c>
      <c r="BX195" s="43">
        <f>SUM(tblSOW8[[#This Row],[Jan 2023 USD]:[Mar 2023 USD]])</f>
        <v>0</v>
      </c>
      <c r="BY195" s="43">
        <f>SUM(tblSOW8[[#This Row],[Apr 2023 USD]:[Jun 2023 USD]])</f>
        <v>0</v>
      </c>
      <c r="BZ195" s="43">
        <f>SUM(tblSOW8[[#This Row],[Jul 2023 USD]:[Sep 2023 USD]])</f>
        <v>0</v>
      </c>
      <c r="CA195" s="43">
        <f>SUM(tblSOW8[[#This Row],[Oct 2023 USD]:[Dec 2023 USD]])</f>
        <v>0</v>
      </c>
    </row>
    <row r="196" spans="1:79" s="36" customFormat="1">
      <c r="A196" s="5"/>
      <c r="B196" s="5"/>
      <c r="C196" s="5"/>
      <c r="D196" s="39"/>
      <c r="E196" s="40"/>
      <c r="F196" s="39"/>
      <c r="G196" s="5"/>
      <c r="H196" s="5"/>
      <c r="I196" s="3"/>
      <c r="J196" s="3"/>
      <c r="K196" s="3"/>
      <c r="L196" s="85"/>
      <c r="M196" s="45"/>
      <c r="N196" s="5"/>
      <c r="O196" s="3"/>
      <c r="P196" s="8"/>
      <c r="Q196" s="8"/>
      <c r="R196" s="5"/>
      <c r="S196" s="5"/>
      <c r="T196" s="3"/>
      <c r="U196" s="3"/>
      <c r="V196" s="3"/>
      <c r="W196" s="3"/>
      <c r="X196" s="5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>
        <f t="shared" si="17"/>
        <v>0</v>
      </c>
      <c r="BQ196" s="43">
        <f t="shared" si="17"/>
        <v>0</v>
      </c>
      <c r="BR196" s="43">
        <f t="shared" si="17"/>
        <v>0</v>
      </c>
      <c r="BS196" s="43">
        <f t="shared" si="17"/>
        <v>0</v>
      </c>
      <c r="BT196" s="43">
        <f t="shared" si="17"/>
        <v>0</v>
      </c>
      <c r="BU196" s="43">
        <f>SUM(tblSOW8[[#This Row],[P1]:[P12]])</f>
        <v>0</v>
      </c>
      <c r="BV196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96" s="43">
        <f>IFERROR(VLOOKUP(K196,[30]Parameters!BN:BW,10,0),0)</f>
        <v>0</v>
      </c>
      <c r="BX196" s="43">
        <f>SUM(tblSOW8[[#This Row],[Jan 2023 USD]:[Mar 2023 USD]])</f>
        <v>0</v>
      </c>
      <c r="BY196" s="43">
        <f>SUM(tblSOW8[[#This Row],[Apr 2023 USD]:[Jun 2023 USD]])</f>
        <v>0</v>
      </c>
      <c r="BZ196" s="43">
        <f>SUM(tblSOW8[[#This Row],[Jul 2023 USD]:[Sep 2023 USD]])</f>
        <v>0</v>
      </c>
      <c r="CA196" s="43">
        <f>SUM(tblSOW8[[#This Row],[Oct 2023 USD]:[Dec 2023 USD]])</f>
        <v>0</v>
      </c>
    </row>
    <row r="197" spans="1:79" s="36" customFormat="1">
      <c r="A197" s="5"/>
      <c r="B197" s="5"/>
      <c r="C197" s="5"/>
      <c r="D197" s="39"/>
      <c r="E197" s="40"/>
      <c r="F197" s="39"/>
      <c r="G197" s="5"/>
      <c r="H197" s="5"/>
      <c r="I197" s="3"/>
      <c r="J197" s="3"/>
      <c r="K197" s="3"/>
      <c r="L197" s="85"/>
      <c r="M197" s="45"/>
      <c r="N197" s="5"/>
      <c r="O197" s="3"/>
      <c r="P197" s="8"/>
      <c r="Q197" s="8"/>
      <c r="R197" s="5"/>
      <c r="S197" s="5"/>
      <c r="T197" s="3"/>
      <c r="U197" s="3"/>
      <c r="V197" s="3"/>
      <c r="W197" s="3"/>
      <c r="X197" s="5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>
        <f t="shared" si="17"/>
        <v>0</v>
      </c>
      <c r="BQ197" s="43">
        <f t="shared" si="17"/>
        <v>0</v>
      </c>
      <c r="BR197" s="43">
        <f t="shared" si="17"/>
        <v>0</v>
      </c>
      <c r="BS197" s="43">
        <f t="shared" si="17"/>
        <v>0</v>
      </c>
      <c r="BT197" s="43">
        <f t="shared" si="17"/>
        <v>0</v>
      </c>
      <c r="BU197" s="43">
        <f>SUM(tblSOW8[[#This Row],[P1]:[P12]])</f>
        <v>0</v>
      </c>
      <c r="BV197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97" s="43">
        <f>IFERROR(VLOOKUP(K197,[30]Parameters!BN:BW,10,0),0)</f>
        <v>0</v>
      </c>
      <c r="BX197" s="43">
        <f>SUM(tblSOW8[[#This Row],[Jan 2023 USD]:[Mar 2023 USD]])</f>
        <v>0</v>
      </c>
      <c r="BY197" s="43">
        <f>SUM(tblSOW8[[#This Row],[Apr 2023 USD]:[Jun 2023 USD]])</f>
        <v>0</v>
      </c>
      <c r="BZ197" s="43">
        <f>SUM(tblSOW8[[#This Row],[Jul 2023 USD]:[Sep 2023 USD]])</f>
        <v>0</v>
      </c>
      <c r="CA197" s="43">
        <f>SUM(tblSOW8[[#This Row],[Oct 2023 USD]:[Dec 2023 USD]])</f>
        <v>0</v>
      </c>
    </row>
    <row r="198" spans="1:79" s="36" customFormat="1">
      <c r="A198" s="5"/>
      <c r="B198" s="5"/>
      <c r="C198" s="5"/>
      <c r="D198" s="39"/>
      <c r="E198" s="40"/>
      <c r="F198" s="39"/>
      <c r="G198" s="5"/>
      <c r="H198" s="5"/>
      <c r="I198" s="3"/>
      <c r="J198" s="3"/>
      <c r="K198" s="3"/>
      <c r="L198" s="85"/>
      <c r="M198" s="45"/>
      <c r="N198" s="5"/>
      <c r="O198" s="3"/>
      <c r="P198" s="8"/>
      <c r="Q198" s="8"/>
      <c r="R198" s="5"/>
      <c r="S198" s="5"/>
      <c r="T198" s="3"/>
      <c r="U198" s="3"/>
      <c r="V198" s="3"/>
      <c r="W198" s="3"/>
      <c r="X198" s="5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>
        <f t="shared" si="17"/>
        <v>0</v>
      </c>
      <c r="BQ198" s="43">
        <f t="shared" si="17"/>
        <v>0</v>
      </c>
      <c r="BR198" s="43">
        <f t="shared" si="17"/>
        <v>0</v>
      </c>
      <c r="BS198" s="43">
        <f t="shared" si="17"/>
        <v>0</v>
      </c>
      <c r="BT198" s="43">
        <f t="shared" si="17"/>
        <v>0</v>
      </c>
      <c r="BU198" s="43">
        <f>SUM(tblSOW8[[#This Row],[P1]:[P12]])</f>
        <v>0</v>
      </c>
      <c r="BV198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98" s="43">
        <f>IFERROR(VLOOKUP(K198,[30]Parameters!BN:BW,10,0),0)</f>
        <v>0</v>
      </c>
      <c r="BX198" s="43">
        <f>SUM(tblSOW8[[#This Row],[Jan 2023 USD]:[Mar 2023 USD]])</f>
        <v>0</v>
      </c>
      <c r="BY198" s="43">
        <f>SUM(tblSOW8[[#This Row],[Apr 2023 USD]:[Jun 2023 USD]])</f>
        <v>0</v>
      </c>
      <c r="BZ198" s="43">
        <f>SUM(tblSOW8[[#This Row],[Jul 2023 USD]:[Sep 2023 USD]])</f>
        <v>0</v>
      </c>
      <c r="CA198" s="43">
        <f>SUM(tblSOW8[[#This Row],[Oct 2023 USD]:[Dec 2023 USD]])</f>
        <v>0</v>
      </c>
    </row>
    <row r="199" spans="1:79" s="36" customFormat="1">
      <c r="A199" s="5"/>
      <c r="B199" s="5"/>
      <c r="C199" s="5"/>
      <c r="D199" s="39"/>
      <c r="E199" s="40"/>
      <c r="F199" s="39"/>
      <c r="G199" s="5"/>
      <c r="H199" s="5"/>
      <c r="I199" s="3"/>
      <c r="J199" s="3"/>
      <c r="K199" s="3"/>
      <c r="L199" s="85"/>
      <c r="M199" s="45"/>
      <c r="N199" s="5"/>
      <c r="O199" s="3"/>
      <c r="P199" s="8"/>
      <c r="Q199" s="8"/>
      <c r="R199" s="5"/>
      <c r="S199" s="5"/>
      <c r="T199" s="3"/>
      <c r="U199" s="3"/>
      <c r="V199" s="3"/>
      <c r="W199" s="3"/>
      <c r="X199" s="5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>
        <f t="shared" si="17"/>
        <v>0</v>
      </c>
      <c r="BQ199" s="43">
        <f t="shared" si="17"/>
        <v>0</v>
      </c>
      <c r="BR199" s="43">
        <f t="shared" si="17"/>
        <v>0</v>
      </c>
      <c r="BS199" s="43">
        <f t="shared" si="17"/>
        <v>0</v>
      </c>
      <c r="BT199" s="43">
        <f t="shared" si="17"/>
        <v>0</v>
      </c>
      <c r="BU199" s="43">
        <f>SUM(tblSOW8[[#This Row],[P1]:[P12]])</f>
        <v>0</v>
      </c>
      <c r="BV199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199" s="43">
        <f>IFERROR(VLOOKUP(K199,[30]Parameters!BN:BW,10,0),0)</f>
        <v>0</v>
      </c>
      <c r="BX199" s="43">
        <f>SUM(tblSOW8[[#This Row],[Jan 2023 USD]:[Mar 2023 USD]])</f>
        <v>0</v>
      </c>
      <c r="BY199" s="43">
        <f>SUM(tblSOW8[[#This Row],[Apr 2023 USD]:[Jun 2023 USD]])</f>
        <v>0</v>
      </c>
      <c r="BZ199" s="43">
        <f>SUM(tblSOW8[[#This Row],[Jul 2023 USD]:[Sep 2023 USD]])</f>
        <v>0</v>
      </c>
      <c r="CA199" s="43">
        <f>SUM(tblSOW8[[#This Row],[Oct 2023 USD]:[Dec 2023 USD]])</f>
        <v>0</v>
      </c>
    </row>
    <row r="200" spans="1:79" s="36" customFormat="1">
      <c r="A200" s="5"/>
      <c r="B200" s="5"/>
      <c r="C200" s="5"/>
      <c r="D200" s="39"/>
      <c r="E200" s="40"/>
      <c r="F200" s="39"/>
      <c r="G200" s="5"/>
      <c r="H200" s="5"/>
      <c r="I200" s="3"/>
      <c r="J200" s="3"/>
      <c r="K200" s="3"/>
      <c r="L200" s="85"/>
      <c r="M200" s="45"/>
      <c r="N200" s="5"/>
      <c r="O200" s="3"/>
      <c r="P200" s="8"/>
      <c r="Q200" s="8"/>
      <c r="R200" s="5"/>
      <c r="S200" s="5"/>
      <c r="T200" s="3"/>
      <c r="U200" s="3"/>
      <c r="V200" s="3"/>
      <c r="W200" s="3"/>
      <c r="X200" s="5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>
        <f t="shared" si="17"/>
        <v>0</v>
      </c>
      <c r="BQ200" s="43">
        <f t="shared" si="17"/>
        <v>0</v>
      </c>
      <c r="BR200" s="43">
        <f t="shared" si="17"/>
        <v>0</v>
      </c>
      <c r="BS200" s="43">
        <f t="shared" si="17"/>
        <v>0</v>
      </c>
      <c r="BT200" s="43">
        <f t="shared" si="17"/>
        <v>0</v>
      </c>
      <c r="BU200" s="43">
        <f>SUM(tblSOW8[[#This Row],[P1]:[P12]])</f>
        <v>0</v>
      </c>
      <c r="BV200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200" s="43">
        <f>IFERROR(VLOOKUP(K200,[30]Parameters!BN:BW,10,0),0)</f>
        <v>0</v>
      </c>
      <c r="BX200" s="43">
        <f>SUM(tblSOW8[[#This Row],[Jan 2023 USD]:[Mar 2023 USD]])</f>
        <v>0</v>
      </c>
      <c r="BY200" s="43">
        <f>SUM(tblSOW8[[#This Row],[Apr 2023 USD]:[Jun 2023 USD]])</f>
        <v>0</v>
      </c>
      <c r="BZ200" s="43">
        <f>SUM(tblSOW8[[#This Row],[Jul 2023 USD]:[Sep 2023 USD]])</f>
        <v>0</v>
      </c>
      <c r="CA200" s="43">
        <f>SUM(tblSOW8[[#This Row],[Oct 2023 USD]:[Dec 2023 USD]])</f>
        <v>0</v>
      </c>
    </row>
    <row r="201" spans="1:79" s="36" customFormat="1">
      <c r="A201" s="61"/>
      <c r="B201" s="5"/>
      <c r="C201" s="5"/>
      <c r="D201" s="39"/>
      <c r="E201" s="40"/>
      <c r="F201" s="39"/>
      <c r="G201" s="5"/>
      <c r="H201" s="5"/>
      <c r="I201" s="3"/>
      <c r="J201" s="3"/>
      <c r="K201" s="3"/>
      <c r="L201" s="85"/>
      <c r="M201" s="45"/>
      <c r="N201" s="5"/>
      <c r="O201" s="3"/>
      <c r="P201" s="62"/>
      <c r="Q201" s="62"/>
      <c r="R201" s="5"/>
      <c r="S201" s="5"/>
      <c r="T201" s="3"/>
      <c r="U201" s="3"/>
      <c r="V201" s="3"/>
      <c r="W201" s="3"/>
      <c r="X201" s="61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>
        <f t="shared" si="17"/>
        <v>0</v>
      </c>
      <c r="BQ201" s="43">
        <f t="shared" si="17"/>
        <v>0</v>
      </c>
      <c r="BR201" s="43">
        <f t="shared" si="17"/>
        <v>0</v>
      </c>
      <c r="BS201" s="43">
        <f t="shared" si="17"/>
        <v>0</v>
      </c>
      <c r="BT201" s="43">
        <f t="shared" si="17"/>
        <v>0</v>
      </c>
      <c r="BU201" s="43">
        <f>SUM(tblSOW8[[#This Row],[P1]:[P12]])</f>
        <v>0</v>
      </c>
      <c r="BV201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201" s="43">
        <f>IFERROR(VLOOKUP(K201,[30]Parameters!BN:BW,10,0),0)</f>
        <v>0</v>
      </c>
      <c r="BX201" s="43">
        <f>SUM(tblSOW8[[#This Row],[Jan 2023 USD]:[Mar 2023 USD]])</f>
        <v>0</v>
      </c>
      <c r="BY201" s="43">
        <f>SUM(tblSOW8[[#This Row],[Apr 2023 USD]:[Jun 2023 USD]])</f>
        <v>0</v>
      </c>
      <c r="BZ201" s="43">
        <f>SUM(tblSOW8[[#This Row],[Jul 2023 USD]:[Sep 2023 USD]])</f>
        <v>0</v>
      </c>
      <c r="CA201" s="43">
        <f>SUM(tblSOW8[[#This Row],[Oct 2023 USD]:[Dec 2023 USD]])</f>
        <v>0</v>
      </c>
    </row>
    <row r="202" spans="1:79" s="36" customFormat="1">
      <c r="A202" s="61"/>
      <c r="B202" s="5"/>
      <c r="C202" s="5"/>
      <c r="D202" s="39"/>
      <c r="E202" s="40"/>
      <c r="F202" s="39"/>
      <c r="G202" s="5"/>
      <c r="H202" s="5"/>
      <c r="I202" s="3"/>
      <c r="J202" s="3"/>
      <c r="K202" s="3"/>
      <c r="L202" s="85"/>
      <c r="M202" s="45"/>
      <c r="N202" s="5"/>
      <c r="O202" s="3"/>
      <c r="P202" s="62"/>
      <c r="Q202" s="62"/>
      <c r="R202" s="5"/>
      <c r="S202" s="5"/>
      <c r="T202" s="3"/>
      <c r="U202" s="3"/>
      <c r="V202" s="3"/>
      <c r="W202" s="3"/>
      <c r="X202" s="61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>
        <f t="shared" si="17"/>
        <v>0</v>
      </c>
      <c r="BQ202" s="43">
        <f t="shared" si="17"/>
        <v>0</v>
      </c>
      <c r="BR202" s="43">
        <f t="shared" si="17"/>
        <v>0</v>
      </c>
      <c r="BS202" s="43">
        <f t="shared" si="17"/>
        <v>0</v>
      </c>
      <c r="BT202" s="43">
        <f t="shared" si="17"/>
        <v>0</v>
      </c>
      <c r="BU202" s="43">
        <f>SUM(tblSOW8[[#This Row],[P1]:[P12]])</f>
        <v>0</v>
      </c>
      <c r="BV202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202" s="43">
        <f>IFERROR(VLOOKUP(K202,[30]Parameters!BN:BW,10,0),0)</f>
        <v>0</v>
      </c>
      <c r="BX202" s="43">
        <f>SUM(tblSOW8[[#This Row],[Jan 2023 USD]:[Mar 2023 USD]])</f>
        <v>0</v>
      </c>
      <c r="BY202" s="43">
        <f>SUM(tblSOW8[[#This Row],[Apr 2023 USD]:[Jun 2023 USD]])</f>
        <v>0</v>
      </c>
      <c r="BZ202" s="43">
        <f>SUM(tblSOW8[[#This Row],[Jul 2023 USD]:[Sep 2023 USD]])</f>
        <v>0</v>
      </c>
      <c r="CA202" s="43">
        <f>SUM(tblSOW8[[#This Row],[Oct 2023 USD]:[Dec 2023 USD]])</f>
        <v>0</v>
      </c>
    </row>
    <row r="203" spans="1:79" s="36" customFormat="1">
      <c r="A203" s="61"/>
      <c r="B203" s="5"/>
      <c r="C203" s="5"/>
      <c r="D203" s="39"/>
      <c r="E203" s="40"/>
      <c r="F203" s="39"/>
      <c r="G203" s="5"/>
      <c r="H203" s="5"/>
      <c r="I203" s="3"/>
      <c r="J203" s="3"/>
      <c r="K203" s="3"/>
      <c r="L203" s="85"/>
      <c r="M203" s="45"/>
      <c r="N203" s="5"/>
      <c r="O203" s="3"/>
      <c r="P203" s="62"/>
      <c r="Q203" s="62"/>
      <c r="R203" s="5"/>
      <c r="S203" s="5"/>
      <c r="T203" s="3"/>
      <c r="U203" s="3"/>
      <c r="V203" s="3"/>
      <c r="W203" s="3"/>
      <c r="X203" s="61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>
        <f t="shared" si="17"/>
        <v>0</v>
      </c>
      <c r="BQ203" s="43">
        <f t="shared" si="17"/>
        <v>0</v>
      </c>
      <c r="BR203" s="43">
        <f t="shared" si="17"/>
        <v>0</v>
      </c>
      <c r="BS203" s="43">
        <f t="shared" si="17"/>
        <v>0</v>
      </c>
      <c r="BT203" s="43">
        <f t="shared" si="17"/>
        <v>0</v>
      </c>
      <c r="BU203" s="43">
        <f>SUM(tblSOW8[[#This Row],[P1]:[P12]])</f>
        <v>0</v>
      </c>
      <c r="BV203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203" s="43">
        <f>IFERROR(VLOOKUP(K203,[30]Parameters!BN:BW,10,0),0)</f>
        <v>0</v>
      </c>
      <c r="BX203" s="43">
        <f>SUM(tblSOW8[[#This Row],[Jan 2023 USD]:[Mar 2023 USD]])</f>
        <v>0</v>
      </c>
      <c r="BY203" s="43">
        <f>SUM(tblSOW8[[#This Row],[Apr 2023 USD]:[Jun 2023 USD]])</f>
        <v>0</v>
      </c>
      <c r="BZ203" s="43">
        <f>SUM(tblSOW8[[#This Row],[Jul 2023 USD]:[Sep 2023 USD]])</f>
        <v>0</v>
      </c>
      <c r="CA203" s="43">
        <f>SUM(tblSOW8[[#This Row],[Oct 2023 USD]:[Dec 2023 USD]])</f>
        <v>0</v>
      </c>
    </row>
    <row r="204" spans="1:79" s="36" customFormat="1">
      <c r="A204" s="61"/>
      <c r="B204" s="5"/>
      <c r="C204" s="5"/>
      <c r="D204" s="39"/>
      <c r="E204" s="40"/>
      <c r="F204" s="39"/>
      <c r="G204" s="5"/>
      <c r="H204" s="5"/>
      <c r="I204" s="3"/>
      <c r="J204" s="3"/>
      <c r="K204" s="3"/>
      <c r="L204" s="85"/>
      <c r="M204" s="45"/>
      <c r="N204" s="5"/>
      <c r="O204" s="3"/>
      <c r="P204" s="62"/>
      <c r="Q204" s="62"/>
      <c r="R204" s="5"/>
      <c r="S204" s="5"/>
      <c r="T204" s="3"/>
      <c r="U204" s="3"/>
      <c r="V204" s="3"/>
      <c r="W204" s="3"/>
      <c r="X204" s="61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>
        <f t="shared" si="17"/>
        <v>0</v>
      </c>
      <c r="BQ204" s="43">
        <f t="shared" si="17"/>
        <v>0</v>
      </c>
      <c r="BR204" s="43">
        <f t="shared" si="17"/>
        <v>0</v>
      </c>
      <c r="BS204" s="43">
        <f t="shared" si="17"/>
        <v>0</v>
      </c>
      <c r="BT204" s="43">
        <f t="shared" si="17"/>
        <v>0</v>
      </c>
      <c r="BU204" s="43">
        <f>SUM(tblSOW8[[#This Row],[P1]:[P12]])</f>
        <v>0</v>
      </c>
      <c r="BV204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204" s="43">
        <f>IFERROR(VLOOKUP(K204,[30]Parameters!BN:BW,10,0),0)</f>
        <v>0</v>
      </c>
      <c r="BX204" s="43">
        <f>SUM(tblSOW8[[#This Row],[Jan 2023 USD]:[Mar 2023 USD]])</f>
        <v>0</v>
      </c>
      <c r="BY204" s="43">
        <f>SUM(tblSOW8[[#This Row],[Apr 2023 USD]:[Jun 2023 USD]])</f>
        <v>0</v>
      </c>
      <c r="BZ204" s="43">
        <f>SUM(tblSOW8[[#This Row],[Jul 2023 USD]:[Sep 2023 USD]])</f>
        <v>0</v>
      </c>
      <c r="CA204" s="43">
        <f>SUM(tblSOW8[[#This Row],[Oct 2023 USD]:[Dec 2023 USD]])</f>
        <v>0</v>
      </c>
    </row>
    <row r="205" spans="1:79" s="36" customFormat="1">
      <c r="A205" s="61"/>
      <c r="B205" s="5"/>
      <c r="C205" s="5"/>
      <c r="D205" s="39"/>
      <c r="E205" s="40"/>
      <c r="F205" s="39"/>
      <c r="G205" s="5"/>
      <c r="H205" s="5"/>
      <c r="I205" s="3"/>
      <c r="J205" s="3"/>
      <c r="K205" s="3"/>
      <c r="L205" s="85"/>
      <c r="M205" s="45"/>
      <c r="N205" s="5"/>
      <c r="O205" s="3"/>
      <c r="P205" s="62"/>
      <c r="Q205" s="62"/>
      <c r="R205" s="5"/>
      <c r="S205" s="5"/>
      <c r="T205" s="3"/>
      <c r="U205" s="3"/>
      <c r="V205" s="3"/>
      <c r="W205" s="3"/>
      <c r="X205" s="61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>
        <f t="shared" si="17"/>
        <v>0</v>
      </c>
      <c r="BQ205" s="43">
        <f t="shared" si="17"/>
        <v>0</v>
      </c>
      <c r="BR205" s="43">
        <f t="shared" si="17"/>
        <v>0</v>
      </c>
      <c r="BS205" s="43">
        <f t="shared" si="17"/>
        <v>0</v>
      </c>
      <c r="BT205" s="43">
        <f t="shared" si="17"/>
        <v>0</v>
      </c>
      <c r="BU205" s="43">
        <f>SUM(tblSOW8[[#This Row],[P1]:[P12]])</f>
        <v>0</v>
      </c>
      <c r="BV205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205" s="43">
        <f>IFERROR(VLOOKUP(K205,[30]Parameters!BN:BW,10,0),0)</f>
        <v>0</v>
      </c>
      <c r="BX205" s="43">
        <f>SUM(tblSOW8[[#This Row],[Jan 2023 USD]:[Mar 2023 USD]])</f>
        <v>0</v>
      </c>
      <c r="BY205" s="43">
        <f>SUM(tblSOW8[[#This Row],[Apr 2023 USD]:[Jun 2023 USD]])</f>
        <v>0</v>
      </c>
      <c r="BZ205" s="43">
        <f>SUM(tblSOW8[[#This Row],[Jul 2023 USD]:[Sep 2023 USD]])</f>
        <v>0</v>
      </c>
      <c r="CA205" s="43">
        <f>SUM(tblSOW8[[#This Row],[Oct 2023 USD]:[Dec 2023 USD]])</f>
        <v>0</v>
      </c>
    </row>
    <row r="206" spans="1:79" s="36" customFormat="1">
      <c r="A206" s="61"/>
      <c r="B206" s="5"/>
      <c r="C206" s="5"/>
      <c r="D206" s="39"/>
      <c r="E206" s="40"/>
      <c r="F206" s="39"/>
      <c r="G206" s="5"/>
      <c r="H206" s="5"/>
      <c r="I206" s="3"/>
      <c r="J206" s="3"/>
      <c r="K206" s="3"/>
      <c r="L206" s="85"/>
      <c r="M206" s="45"/>
      <c r="N206" s="5"/>
      <c r="O206" s="3"/>
      <c r="P206" s="62"/>
      <c r="Q206" s="62"/>
      <c r="R206" s="5"/>
      <c r="S206" s="5"/>
      <c r="T206" s="3"/>
      <c r="U206" s="3"/>
      <c r="V206" s="3"/>
      <c r="W206" s="3"/>
      <c r="X206" s="61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>
        <f t="shared" si="17"/>
        <v>0</v>
      </c>
      <c r="BQ206" s="43">
        <f t="shared" si="17"/>
        <v>0</v>
      </c>
      <c r="BR206" s="43">
        <f t="shared" si="17"/>
        <v>0</v>
      </c>
      <c r="BS206" s="43">
        <f t="shared" si="17"/>
        <v>0</v>
      </c>
      <c r="BT206" s="43">
        <f t="shared" si="17"/>
        <v>0</v>
      </c>
      <c r="BU206" s="43">
        <f>SUM(tblSOW8[[#This Row],[P1]:[P12]])</f>
        <v>0</v>
      </c>
      <c r="BV206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206" s="43">
        <f>IFERROR(VLOOKUP(K206,[30]Parameters!BN:BW,10,0),0)</f>
        <v>0</v>
      </c>
      <c r="BX206" s="43">
        <f>SUM(tblSOW8[[#This Row],[Jan 2023 USD]:[Mar 2023 USD]])</f>
        <v>0</v>
      </c>
      <c r="BY206" s="43">
        <f>SUM(tblSOW8[[#This Row],[Apr 2023 USD]:[Jun 2023 USD]])</f>
        <v>0</v>
      </c>
      <c r="BZ206" s="43">
        <f>SUM(tblSOW8[[#This Row],[Jul 2023 USD]:[Sep 2023 USD]])</f>
        <v>0</v>
      </c>
      <c r="CA206" s="43">
        <f>SUM(tblSOW8[[#This Row],[Oct 2023 USD]:[Dec 2023 USD]])</f>
        <v>0</v>
      </c>
    </row>
    <row r="207" spans="1:79" s="36" customFormat="1">
      <c r="A207" s="61"/>
      <c r="B207" s="5"/>
      <c r="C207" s="5"/>
      <c r="D207" s="39"/>
      <c r="E207" s="40"/>
      <c r="F207" s="39"/>
      <c r="G207" s="5"/>
      <c r="H207" s="5"/>
      <c r="I207" s="3"/>
      <c r="J207" s="3"/>
      <c r="K207" s="3"/>
      <c r="L207" s="85"/>
      <c r="M207" s="45"/>
      <c r="N207" s="5"/>
      <c r="O207" s="3"/>
      <c r="P207" s="62"/>
      <c r="Q207" s="62"/>
      <c r="R207" s="5"/>
      <c r="S207" s="5"/>
      <c r="T207" s="3"/>
      <c r="U207" s="3"/>
      <c r="V207" s="3"/>
      <c r="W207" s="3"/>
      <c r="X207" s="61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>
        <f t="shared" si="17"/>
        <v>0</v>
      </c>
      <c r="BQ207" s="43">
        <f t="shared" si="17"/>
        <v>0</v>
      </c>
      <c r="BR207" s="43">
        <f t="shared" si="17"/>
        <v>0</v>
      </c>
      <c r="BS207" s="43">
        <f t="shared" si="17"/>
        <v>0</v>
      </c>
      <c r="BT207" s="43">
        <f t="shared" si="17"/>
        <v>0</v>
      </c>
      <c r="BU207" s="43">
        <f>SUM(tblSOW8[[#This Row],[P1]:[P12]])</f>
        <v>0</v>
      </c>
      <c r="BV207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207" s="43">
        <f>IFERROR(VLOOKUP(K207,[30]Parameters!BN:BW,10,0),0)</f>
        <v>0</v>
      </c>
      <c r="BX207" s="43">
        <f>SUM(tblSOW8[[#This Row],[Jan 2023 USD]:[Mar 2023 USD]])</f>
        <v>0</v>
      </c>
      <c r="BY207" s="43">
        <f>SUM(tblSOW8[[#This Row],[Apr 2023 USD]:[Jun 2023 USD]])</f>
        <v>0</v>
      </c>
      <c r="BZ207" s="43">
        <f>SUM(tblSOW8[[#This Row],[Jul 2023 USD]:[Sep 2023 USD]])</f>
        <v>0</v>
      </c>
      <c r="CA207" s="43">
        <f>SUM(tblSOW8[[#This Row],[Oct 2023 USD]:[Dec 2023 USD]])</f>
        <v>0</v>
      </c>
    </row>
    <row r="208" spans="1:79" s="36" customFormat="1">
      <c r="A208" s="61"/>
      <c r="B208" s="5"/>
      <c r="C208" s="5"/>
      <c r="D208" s="39"/>
      <c r="E208" s="40"/>
      <c r="F208" s="39"/>
      <c r="G208" s="5"/>
      <c r="H208" s="5"/>
      <c r="I208" s="3"/>
      <c r="J208" s="3"/>
      <c r="K208" s="3"/>
      <c r="L208" s="85"/>
      <c r="M208" s="45"/>
      <c r="N208" s="5"/>
      <c r="O208" s="3"/>
      <c r="P208" s="62"/>
      <c r="Q208" s="62"/>
      <c r="R208" s="5"/>
      <c r="S208" s="5"/>
      <c r="T208" s="3"/>
      <c r="U208" s="3"/>
      <c r="V208" s="3"/>
      <c r="W208" s="3"/>
      <c r="X208" s="61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>
        <f t="shared" si="17"/>
        <v>0</v>
      </c>
      <c r="BQ208" s="43">
        <f t="shared" si="17"/>
        <v>0</v>
      </c>
      <c r="BR208" s="43">
        <f t="shared" si="17"/>
        <v>0</v>
      </c>
      <c r="BS208" s="43">
        <f t="shared" si="17"/>
        <v>0</v>
      </c>
      <c r="BT208" s="43">
        <f t="shared" si="17"/>
        <v>0</v>
      </c>
      <c r="BU208" s="43">
        <f>SUM(tblSOW8[[#This Row],[P1]:[P12]])</f>
        <v>0</v>
      </c>
      <c r="BV208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208" s="43">
        <f>IFERROR(VLOOKUP(K208,[30]Parameters!BN:BW,10,0),0)</f>
        <v>0</v>
      </c>
      <c r="BX208" s="43">
        <f>SUM(tblSOW8[[#This Row],[Jan 2023 USD]:[Mar 2023 USD]])</f>
        <v>0</v>
      </c>
      <c r="BY208" s="43">
        <f>SUM(tblSOW8[[#This Row],[Apr 2023 USD]:[Jun 2023 USD]])</f>
        <v>0</v>
      </c>
      <c r="BZ208" s="43">
        <f>SUM(tblSOW8[[#This Row],[Jul 2023 USD]:[Sep 2023 USD]])</f>
        <v>0</v>
      </c>
      <c r="CA208" s="43">
        <f>SUM(tblSOW8[[#This Row],[Oct 2023 USD]:[Dec 2023 USD]])</f>
        <v>0</v>
      </c>
    </row>
    <row r="209" spans="1:79" s="36" customFormat="1">
      <c r="A209" s="61"/>
      <c r="B209" s="5"/>
      <c r="C209" s="5"/>
      <c r="D209" s="39"/>
      <c r="E209" s="40"/>
      <c r="F209" s="39"/>
      <c r="G209" s="5"/>
      <c r="H209" s="5"/>
      <c r="I209" s="3"/>
      <c r="J209" s="3"/>
      <c r="K209" s="3"/>
      <c r="L209" s="85"/>
      <c r="M209" s="45"/>
      <c r="N209" s="5"/>
      <c r="O209" s="3"/>
      <c r="P209" s="62"/>
      <c r="Q209" s="62"/>
      <c r="R209" s="5"/>
      <c r="S209" s="5"/>
      <c r="T209" s="3"/>
      <c r="U209" s="3"/>
      <c r="V209" s="3"/>
      <c r="W209" s="3"/>
      <c r="X209" s="61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>
        <f t="shared" si="17"/>
        <v>0</v>
      </c>
      <c r="BQ209" s="43">
        <f t="shared" si="17"/>
        <v>0</v>
      </c>
      <c r="BR209" s="43">
        <f t="shared" si="17"/>
        <v>0</v>
      </c>
      <c r="BS209" s="43">
        <f t="shared" si="17"/>
        <v>0</v>
      </c>
      <c r="BT209" s="43">
        <f t="shared" si="17"/>
        <v>0</v>
      </c>
      <c r="BU209" s="43">
        <f>SUM(tblSOW8[[#This Row],[P1]:[P12]])</f>
        <v>0</v>
      </c>
      <c r="BV209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209" s="43">
        <f>IFERROR(VLOOKUP(K209,[30]Parameters!BN:BW,10,0),0)</f>
        <v>0</v>
      </c>
      <c r="BX209" s="43">
        <f>SUM(tblSOW8[[#This Row],[Jan 2023 USD]:[Mar 2023 USD]])</f>
        <v>0</v>
      </c>
      <c r="BY209" s="43">
        <f>SUM(tblSOW8[[#This Row],[Apr 2023 USD]:[Jun 2023 USD]])</f>
        <v>0</v>
      </c>
      <c r="BZ209" s="43">
        <f>SUM(tblSOW8[[#This Row],[Jul 2023 USD]:[Sep 2023 USD]])</f>
        <v>0</v>
      </c>
      <c r="CA209" s="43">
        <f>SUM(tblSOW8[[#This Row],[Oct 2023 USD]:[Dec 2023 USD]])</f>
        <v>0</v>
      </c>
    </row>
    <row r="210" spans="1:79" s="36" customFormat="1">
      <c r="A210" s="61"/>
      <c r="B210" s="5"/>
      <c r="C210" s="5"/>
      <c r="D210" s="39"/>
      <c r="E210" s="40"/>
      <c r="F210" s="39"/>
      <c r="G210" s="5"/>
      <c r="H210" s="5"/>
      <c r="I210" s="3"/>
      <c r="J210" s="3"/>
      <c r="K210" s="3"/>
      <c r="L210" s="85"/>
      <c r="M210" s="45"/>
      <c r="N210" s="5"/>
      <c r="O210" s="3"/>
      <c r="P210" s="62"/>
      <c r="Q210" s="62"/>
      <c r="R210" s="5"/>
      <c r="S210" s="5"/>
      <c r="T210" s="3"/>
      <c r="U210" s="3"/>
      <c r="V210" s="5"/>
      <c r="W210" s="5"/>
      <c r="X210" s="61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>
        <f t="shared" si="17"/>
        <v>0</v>
      </c>
      <c r="BQ210" s="43">
        <f t="shared" si="17"/>
        <v>0</v>
      </c>
      <c r="BR210" s="43">
        <f t="shared" si="17"/>
        <v>0</v>
      </c>
      <c r="BS210" s="43">
        <f t="shared" si="17"/>
        <v>0</v>
      </c>
      <c r="BT210" s="43">
        <f t="shared" si="17"/>
        <v>0</v>
      </c>
      <c r="BU210" s="43">
        <f>SUM(tblSOW8[[#This Row],[P1]:[P12]])</f>
        <v>0</v>
      </c>
      <c r="BV210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210" s="43">
        <f>IFERROR(VLOOKUP(K210,[30]Parameters!BN:BW,10,0),0)</f>
        <v>0</v>
      </c>
      <c r="BX210" s="43">
        <f>SUM(tblSOW8[[#This Row],[Jan 2023 USD]:[Mar 2023 USD]])</f>
        <v>0</v>
      </c>
      <c r="BY210" s="43">
        <f>SUM(tblSOW8[[#This Row],[Apr 2023 USD]:[Jun 2023 USD]])</f>
        <v>0</v>
      </c>
      <c r="BZ210" s="43">
        <f>SUM(tblSOW8[[#This Row],[Jul 2023 USD]:[Sep 2023 USD]])</f>
        <v>0</v>
      </c>
      <c r="CA210" s="43">
        <f>SUM(tblSOW8[[#This Row],[Oct 2023 USD]:[Dec 2023 USD]])</f>
        <v>0</v>
      </c>
    </row>
    <row r="211" spans="1:79" s="36" customFormat="1">
      <c r="A211" s="61"/>
      <c r="B211" s="5"/>
      <c r="C211" s="5"/>
      <c r="D211" s="39"/>
      <c r="E211" s="40"/>
      <c r="F211" s="39"/>
      <c r="G211" s="5"/>
      <c r="H211" s="5"/>
      <c r="I211" s="3"/>
      <c r="J211" s="3"/>
      <c r="K211" s="3"/>
      <c r="L211" s="85"/>
      <c r="M211" s="45"/>
      <c r="N211" s="5"/>
      <c r="O211" s="3"/>
      <c r="P211" s="62"/>
      <c r="Q211" s="62"/>
      <c r="R211" s="5"/>
      <c r="S211" s="5"/>
      <c r="T211" s="3"/>
      <c r="U211" s="3"/>
      <c r="V211" s="5"/>
      <c r="W211" s="5"/>
      <c r="X211" s="61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>
        <f t="shared" ref="BP211:BT222" si="18">IF($S211&gt;0,IF(AND(MONTH($P211)&lt;=BP$1,MONTH($Q211)&gt;=BP$1),1,0),0)</f>
        <v>0</v>
      </c>
      <c r="BQ211" s="43">
        <f t="shared" si="18"/>
        <v>0</v>
      </c>
      <c r="BR211" s="43">
        <f t="shared" si="18"/>
        <v>0</v>
      </c>
      <c r="BS211" s="43">
        <f t="shared" si="18"/>
        <v>0</v>
      </c>
      <c r="BT211" s="43">
        <f t="shared" si="18"/>
        <v>0</v>
      </c>
      <c r="BU211" s="43">
        <f>SUM(tblSOW8[[#This Row],[P1]:[P12]])</f>
        <v>0</v>
      </c>
      <c r="BV211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211" s="43">
        <f>IFERROR(VLOOKUP(K211,[30]Parameters!BN:BW,10,0),0)</f>
        <v>0</v>
      </c>
      <c r="BX211" s="43">
        <f>SUM(tblSOW8[[#This Row],[Jan 2023 USD]:[Mar 2023 USD]])</f>
        <v>0</v>
      </c>
      <c r="BY211" s="43">
        <f>SUM(tblSOW8[[#This Row],[Apr 2023 USD]:[Jun 2023 USD]])</f>
        <v>0</v>
      </c>
      <c r="BZ211" s="43">
        <f>SUM(tblSOW8[[#This Row],[Jul 2023 USD]:[Sep 2023 USD]])</f>
        <v>0</v>
      </c>
      <c r="CA211" s="43">
        <f>SUM(tblSOW8[[#This Row],[Oct 2023 USD]:[Dec 2023 USD]])</f>
        <v>0</v>
      </c>
    </row>
    <row r="212" spans="1:79" s="36" customFormat="1">
      <c r="A212" s="61"/>
      <c r="B212" s="5"/>
      <c r="C212" s="5"/>
      <c r="D212" s="39"/>
      <c r="E212" s="40"/>
      <c r="F212" s="39"/>
      <c r="G212" s="5"/>
      <c r="H212" s="5"/>
      <c r="I212" s="3"/>
      <c r="J212" s="3"/>
      <c r="K212" s="3"/>
      <c r="L212" s="85"/>
      <c r="M212" s="45"/>
      <c r="N212" s="5"/>
      <c r="O212" s="3"/>
      <c r="P212" s="62"/>
      <c r="Q212" s="62"/>
      <c r="R212" s="5"/>
      <c r="S212" s="5"/>
      <c r="T212" s="3"/>
      <c r="U212" s="3"/>
      <c r="V212" s="5"/>
      <c r="W212" s="5"/>
      <c r="X212" s="61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>
        <f t="shared" si="18"/>
        <v>0</v>
      </c>
      <c r="BQ212" s="43">
        <f t="shared" si="18"/>
        <v>0</v>
      </c>
      <c r="BR212" s="43">
        <f t="shared" si="18"/>
        <v>0</v>
      </c>
      <c r="BS212" s="43">
        <f t="shared" si="18"/>
        <v>0</v>
      </c>
      <c r="BT212" s="43">
        <f t="shared" si="18"/>
        <v>0</v>
      </c>
      <c r="BU212" s="43">
        <f>SUM(tblSOW8[[#This Row],[P1]:[P12]])</f>
        <v>0</v>
      </c>
      <c r="BV212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212" s="43">
        <f>IFERROR(VLOOKUP(K212,[30]Parameters!BN:BW,10,0),0)</f>
        <v>0</v>
      </c>
      <c r="BX212" s="43">
        <f>SUM(tblSOW8[[#This Row],[Jan 2023 USD]:[Mar 2023 USD]])</f>
        <v>0</v>
      </c>
      <c r="BY212" s="43">
        <f>SUM(tblSOW8[[#This Row],[Apr 2023 USD]:[Jun 2023 USD]])</f>
        <v>0</v>
      </c>
      <c r="BZ212" s="43">
        <f>SUM(tblSOW8[[#This Row],[Jul 2023 USD]:[Sep 2023 USD]])</f>
        <v>0</v>
      </c>
      <c r="CA212" s="43">
        <f>SUM(tblSOW8[[#This Row],[Oct 2023 USD]:[Dec 2023 USD]])</f>
        <v>0</v>
      </c>
    </row>
    <row r="213" spans="1:79" s="36" customFormat="1">
      <c r="A213" s="61"/>
      <c r="B213" s="5"/>
      <c r="C213" s="5"/>
      <c r="D213" s="39"/>
      <c r="E213" s="40"/>
      <c r="F213" s="39"/>
      <c r="G213" s="5"/>
      <c r="H213" s="5"/>
      <c r="I213" s="3"/>
      <c r="J213" s="3"/>
      <c r="K213" s="3"/>
      <c r="L213" s="85"/>
      <c r="M213" s="45"/>
      <c r="N213" s="5"/>
      <c r="O213" s="3"/>
      <c r="P213" s="62"/>
      <c r="Q213" s="62"/>
      <c r="R213" s="5"/>
      <c r="S213" s="5"/>
      <c r="T213" s="3"/>
      <c r="U213" s="3"/>
      <c r="V213" s="5"/>
      <c r="W213" s="5"/>
      <c r="X213" s="61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>
        <f t="shared" si="18"/>
        <v>0</v>
      </c>
      <c r="BQ213" s="43">
        <f t="shared" si="18"/>
        <v>0</v>
      </c>
      <c r="BR213" s="43">
        <f t="shared" si="18"/>
        <v>0</v>
      </c>
      <c r="BS213" s="43">
        <f t="shared" si="18"/>
        <v>0</v>
      </c>
      <c r="BT213" s="43">
        <f t="shared" si="18"/>
        <v>0</v>
      </c>
      <c r="BU213" s="43">
        <f>SUM(tblSOW8[[#This Row],[P1]:[P12]])</f>
        <v>0</v>
      </c>
      <c r="BV213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213" s="43">
        <f>IFERROR(VLOOKUP(K213,[30]Parameters!BN:BW,10,0),0)</f>
        <v>0</v>
      </c>
      <c r="BX213" s="43">
        <f>SUM(tblSOW8[[#This Row],[Jan 2023 USD]:[Mar 2023 USD]])</f>
        <v>0</v>
      </c>
      <c r="BY213" s="43">
        <f>SUM(tblSOW8[[#This Row],[Apr 2023 USD]:[Jun 2023 USD]])</f>
        <v>0</v>
      </c>
      <c r="BZ213" s="43">
        <f>SUM(tblSOW8[[#This Row],[Jul 2023 USD]:[Sep 2023 USD]])</f>
        <v>0</v>
      </c>
      <c r="CA213" s="43">
        <f>SUM(tblSOW8[[#This Row],[Oct 2023 USD]:[Dec 2023 USD]])</f>
        <v>0</v>
      </c>
    </row>
    <row r="214" spans="1:79" s="36" customFormat="1">
      <c r="A214" s="61"/>
      <c r="B214" s="5"/>
      <c r="C214" s="5"/>
      <c r="D214" s="39"/>
      <c r="E214" s="39"/>
      <c r="F214" s="39"/>
      <c r="G214" s="5"/>
      <c r="H214" s="117"/>
      <c r="I214" s="3"/>
      <c r="J214" s="3"/>
      <c r="K214" s="3"/>
      <c r="L214" s="85"/>
      <c r="M214" s="45"/>
      <c r="N214" s="5"/>
      <c r="O214" s="3"/>
      <c r="P214" s="62"/>
      <c r="Q214" s="62"/>
      <c r="R214" s="5"/>
      <c r="S214" s="5"/>
      <c r="T214" s="3"/>
      <c r="U214" s="3"/>
      <c r="V214" s="5"/>
      <c r="W214" s="5"/>
      <c r="X214" s="61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>
        <f t="shared" si="18"/>
        <v>0</v>
      </c>
      <c r="BQ214" s="43">
        <f t="shared" si="18"/>
        <v>0</v>
      </c>
      <c r="BR214" s="43">
        <f t="shared" si="18"/>
        <v>0</v>
      </c>
      <c r="BS214" s="43">
        <f t="shared" si="18"/>
        <v>0</v>
      </c>
      <c r="BT214" s="43">
        <f t="shared" si="18"/>
        <v>0</v>
      </c>
      <c r="BU214" s="43">
        <f>SUM(tblSOW8[[#This Row],[P1]:[P12]])</f>
        <v>0</v>
      </c>
      <c r="BV214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214" s="43">
        <f>IFERROR(VLOOKUP(K214,[30]Parameters!BN:BW,10,0),0)</f>
        <v>0</v>
      </c>
      <c r="BX214" s="43">
        <f>SUM(tblSOW8[[#This Row],[Jan 2023 USD]:[Mar 2023 USD]])</f>
        <v>0</v>
      </c>
      <c r="BY214" s="43">
        <f>SUM(tblSOW8[[#This Row],[Apr 2023 USD]:[Jun 2023 USD]])</f>
        <v>0</v>
      </c>
      <c r="BZ214" s="43">
        <f>SUM(tblSOW8[[#This Row],[Jul 2023 USD]:[Sep 2023 USD]])</f>
        <v>0</v>
      </c>
      <c r="CA214" s="43">
        <f>SUM(tblSOW8[[#This Row],[Oct 2023 USD]:[Dec 2023 USD]])</f>
        <v>0</v>
      </c>
    </row>
    <row r="215" spans="1:79" s="36" customFormat="1">
      <c r="A215" s="61"/>
      <c r="B215" s="5"/>
      <c r="C215" s="5"/>
      <c r="D215" s="39"/>
      <c r="E215" s="39"/>
      <c r="F215" s="39"/>
      <c r="G215" s="5"/>
      <c r="H215" s="117"/>
      <c r="I215" s="3"/>
      <c r="J215" s="3"/>
      <c r="K215" s="3"/>
      <c r="L215" s="85"/>
      <c r="M215" s="45"/>
      <c r="N215" s="5"/>
      <c r="O215" s="3"/>
      <c r="P215" s="62"/>
      <c r="Q215" s="62"/>
      <c r="R215" s="5"/>
      <c r="S215" s="5"/>
      <c r="T215" s="3"/>
      <c r="U215" s="3"/>
      <c r="V215" s="5"/>
      <c r="W215" s="5"/>
      <c r="X215" s="61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>
        <f t="shared" si="18"/>
        <v>0</v>
      </c>
      <c r="BQ215" s="43">
        <f t="shared" si="18"/>
        <v>0</v>
      </c>
      <c r="BR215" s="43">
        <f t="shared" si="18"/>
        <v>0</v>
      </c>
      <c r="BS215" s="43">
        <f t="shared" si="18"/>
        <v>0</v>
      </c>
      <c r="BT215" s="43">
        <f t="shared" si="18"/>
        <v>0</v>
      </c>
      <c r="BU215" s="43">
        <f>SUM(tblSOW8[[#This Row],[P1]:[P12]])</f>
        <v>0</v>
      </c>
      <c r="BV215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215" s="43">
        <f>IFERROR(VLOOKUP(K215,[30]Parameters!BN:BW,10,0),0)</f>
        <v>0</v>
      </c>
      <c r="BX215" s="43">
        <f>SUM(tblSOW8[[#This Row],[Jan 2023 USD]:[Mar 2023 USD]])</f>
        <v>0</v>
      </c>
      <c r="BY215" s="43">
        <f>SUM(tblSOW8[[#This Row],[Apr 2023 USD]:[Jun 2023 USD]])</f>
        <v>0</v>
      </c>
      <c r="BZ215" s="43">
        <f>SUM(tblSOW8[[#This Row],[Jul 2023 USD]:[Sep 2023 USD]])</f>
        <v>0</v>
      </c>
      <c r="CA215" s="43">
        <f>SUM(tblSOW8[[#This Row],[Oct 2023 USD]:[Dec 2023 USD]])</f>
        <v>0</v>
      </c>
    </row>
    <row r="216" spans="1:79" s="36" customFormat="1">
      <c r="A216" s="61"/>
      <c r="B216" s="5"/>
      <c r="C216" s="5"/>
      <c r="D216" s="39"/>
      <c r="E216" s="39"/>
      <c r="F216" s="39"/>
      <c r="G216" s="5"/>
      <c r="H216" s="117"/>
      <c r="I216" s="3"/>
      <c r="J216" s="3"/>
      <c r="K216" s="3"/>
      <c r="L216" s="85"/>
      <c r="M216" s="45"/>
      <c r="N216" s="5"/>
      <c r="O216" s="3"/>
      <c r="P216" s="62"/>
      <c r="Q216" s="62"/>
      <c r="R216" s="5"/>
      <c r="S216" s="5"/>
      <c r="T216" s="3"/>
      <c r="U216" s="3"/>
      <c r="V216" s="5"/>
      <c r="W216" s="5"/>
      <c r="X216" s="61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43"/>
      <c r="BL216" s="43"/>
      <c r="BM216" s="43"/>
      <c r="BN216" s="43"/>
      <c r="BO216" s="43"/>
      <c r="BP216" s="43">
        <f t="shared" si="18"/>
        <v>0</v>
      </c>
      <c r="BQ216" s="43">
        <f t="shared" si="18"/>
        <v>0</v>
      </c>
      <c r="BR216" s="43">
        <f t="shared" si="18"/>
        <v>0</v>
      </c>
      <c r="BS216" s="43">
        <f t="shared" si="18"/>
        <v>0</v>
      </c>
      <c r="BT216" s="43">
        <f t="shared" si="18"/>
        <v>0</v>
      </c>
      <c r="BU216" s="43">
        <f>SUM(tblSOW8[[#This Row],[P1]:[P12]])</f>
        <v>0</v>
      </c>
      <c r="BV216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216" s="43">
        <f>IFERROR(VLOOKUP(K216,[30]Parameters!BN:BW,10,0),0)</f>
        <v>0</v>
      </c>
      <c r="BX216" s="43">
        <f>SUM(tblSOW8[[#This Row],[Jan 2023 USD]:[Mar 2023 USD]])</f>
        <v>0</v>
      </c>
      <c r="BY216" s="43">
        <f>SUM(tblSOW8[[#This Row],[Apr 2023 USD]:[Jun 2023 USD]])</f>
        <v>0</v>
      </c>
      <c r="BZ216" s="43">
        <f>SUM(tblSOW8[[#This Row],[Jul 2023 USD]:[Sep 2023 USD]])</f>
        <v>0</v>
      </c>
      <c r="CA216" s="43">
        <f>SUM(tblSOW8[[#This Row],[Oct 2023 USD]:[Dec 2023 USD]])</f>
        <v>0</v>
      </c>
    </row>
    <row r="217" spans="1:79" s="36" customFormat="1">
      <c r="A217" s="61"/>
      <c r="B217" s="5"/>
      <c r="C217" s="5"/>
      <c r="D217" s="39"/>
      <c r="E217" s="39"/>
      <c r="F217" s="39"/>
      <c r="G217" s="5" t="e">
        <f>VLOOKUP(tblSOW8[[#This Row],[Budget Item]],'[31]Lavie Bio'!$A:$E,5,)</f>
        <v>#N/A</v>
      </c>
      <c r="H217" s="117"/>
      <c r="I217" s="3"/>
      <c r="J217" s="3"/>
      <c r="K217" s="3"/>
      <c r="L217" s="85"/>
      <c r="M217" s="45"/>
      <c r="N217" s="5"/>
      <c r="O217" s="3"/>
      <c r="P217" s="62"/>
      <c r="Q217" s="62"/>
      <c r="R217" s="5"/>
      <c r="S217" s="5"/>
      <c r="T217" s="3"/>
      <c r="U217" s="3"/>
      <c r="V217" s="5"/>
      <c r="W217" s="5"/>
      <c r="X217" s="61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43"/>
      <c r="BL217" s="43"/>
      <c r="BM217" s="43"/>
      <c r="BN217" s="43"/>
      <c r="BO217" s="43"/>
      <c r="BP217" s="43">
        <f t="shared" si="18"/>
        <v>0</v>
      </c>
      <c r="BQ217" s="43">
        <f t="shared" si="18"/>
        <v>0</v>
      </c>
      <c r="BR217" s="43">
        <f t="shared" si="18"/>
        <v>0</v>
      </c>
      <c r="BS217" s="43">
        <f t="shared" si="18"/>
        <v>0</v>
      </c>
      <c r="BT217" s="43">
        <f t="shared" si="18"/>
        <v>0</v>
      </c>
      <c r="BU217" s="43">
        <f>SUM(tblSOW8[[#This Row],[P1]:[P12]])</f>
        <v>0</v>
      </c>
      <c r="BV217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217" s="43">
        <f>IFERROR(VLOOKUP(K217,[30]Parameters!BN:BW,10,0),0)</f>
        <v>0</v>
      </c>
      <c r="BX217" s="43">
        <f>SUM(tblSOW8[[#This Row],[Jan 2023 USD]:[Mar 2023 USD]])</f>
        <v>0</v>
      </c>
      <c r="BY217" s="43">
        <f>SUM(tblSOW8[[#This Row],[Apr 2023 USD]:[Jun 2023 USD]])</f>
        <v>0</v>
      </c>
      <c r="BZ217" s="43">
        <f>SUM(tblSOW8[[#This Row],[Jul 2023 USD]:[Sep 2023 USD]])</f>
        <v>0</v>
      </c>
      <c r="CA217" s="43">
        <f>SUM(tblSOW8[[#This Row],[Oct 2023 USD]:[Dec 2023 USD]])</f>
        <v>0</v>
      </c>
    </row>
    <row r="218" spans="1:79" s="36" customFormat="1">
      <c r="A218" s="61"/>
      <c r="B218" s="5"/>
      <c r="C218" s="5"/>
      <c r="D218" s="39"/>
      <c r="E218" s="39"/>
      <c r="F218" s="39"/>
      <c r="G218" s="5" t="e">
        <f>VLOOKUP(tblSOW8[[#This Row],[Budget Item]],'[31]Lavie Bio'!$A:$E,5,)</f>
        <v>#N/A</v>
      </c>
      <c r="H218" s="117"/>
      <c r="I218" s="3"/>
      <c r="J218" s="3"/>
      <c r="K218" s="3"/>
      <c r="L218" s="85"/>
      <c r="M218" s="45"/>
      <c r="N218" s="5"/>
      <c r="O218" s="3"/>
      <c r="P218" s="62"/>
      <c r="Q218" s="62"/>
      <c r="R218" s="5"/>
      <c r="S218" s="5"/>
      <c r="T218" s="3"/>
      <c r="U218" s="3"/>
      <c r="V218" s="5"/>
      <c r="W218" s="5"/>
      <c r="X218" s="61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  <c r="BP218" s="43">
        <f t="shared" si="18"/>
        <v>0</v>
      </c>
      <c r="BQ218" s="43">
        <f t="shared" si="18"/>
        <v>0</v>
      </c>
      <c r="BR218" s="43">
        <f t="shared" si="18"/>
        <v>0</v>
      </c>
      <c r="BS218" s="43">
        <f t="shared" si="18"/>
        <v>0</v>
      </c>
      <c r="BT218" s="43">
        <f t="shared" si="18"/>
        <v>0</v>
      </c>
      <c r="BU218" s="43">
        <f>SUM(tblSOW8[[#This Row],[P1]:[P12]])</f>
        <v>0</v>
      </c>
      <c r="BV218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218" s="43">
        <f>IFERROR(VLOOKUP(K218,[30]Parameters!BN:BW,10,0),0)</f>
        <v>0</v>
      </c>
      <c r="BX218" s="43">
        <f>SUM(tblSOW8[[#This Row],[Jan 2023 USD]:[Mar 2023 USD]])</f>
        <v>0</v>
      </c>
      <c r="BY218" s="43">
        <f>SUM(tblSOW8[[#This Row],[Apr 2023 USD]:[Jun 2023 USD]])</f>
        <v>0</v>
      </c>
      <c r="BZ218" s="43">
        <f>SUM(tblSOW8[[#This Row],[Jul 2023 USD]:[Sep 2023 USD]])</f>
        <v>0</v>
      </c>
      <c r="CA218" s="43">
        <f>SUM(tblSOW8[[#This Row],[Oct 2023 USD]:[Dec 2023 USD]])</f>
        <v>0</v>
      </c>
    </row>
    <row r="219" spans="1:79" s="36" customFormat="1">
      <c r="A219" s="61"/>
      <c r="B219" s="5"/>
      <c r="C219" s="5"/>
      <c r="D219" s="39"/>
      <c r="E219" s="39"/>
      <c r="F219" s="39"/>
      <c r="G219" s="5" t="e">
        <f>VLOOKUP(tblSOW8[[#This Row],[Budget Item]],'[31]Lavie Bio'!$A:$E,5,)</f>
        <v>#N/A</v>
      </c>
      <c r="H219" s="117"/>
      <c r="I219" s="3"/>
      <c r="J219" s="3"/>
      <c r="K219" s="3"/>
      <c r="L219" s="85"/>
      <c r="M219" s="45"/>
      <c r="N219" s="5"/>
      <c r="O219" s="3"/>
      <c r="P219" s="62"/>
      <c r="Q219" s="62"/>
      <c r="R219" s="5"/>
      <c r="S219" s="5"/>
      <c r="T219" s="3"/>
      <c r="U219" s="3"/>
      <c r="V219" s="3"/>
      <c r="W219" s="3"/>
      <c r="X219" s="61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43"/>
      <c r="BL219" s="43"/>
      <c r="BM219" s="43"/>
      <c r="BN219" s="43"/>
      <c r="BO219" s="43"/>
      <c r="BP219" s="43">
        <f t="shared" si="18"/>
        <v>0</v>
      </c>
      <c r="BQ219" s="43">
        <f t="shared" si="18"/>
        <v>0</v>
      </c>
      <c r="BR219" s="43">
        <f t="shared" si="18"/>
        <v>0</v>
      </c>
      <c r="BS219" s="43">
        <f t="shared" si="18"/>
        <v>0</v>
      </c>
      <c r="BT219" s="43">
        <f t="shared" si="18"/>
        <v>0</v>
      </c>
      <c r="BU219" s="43">
        <f>SUM(tblSOW8[[#This Row],[P1]:[P12]])</f>
        <v>0</v>
      </c>
      <c r="BV219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219" s="43">
        <f>IFERROR(VLOOKUP(K219,[30]Parameters!BN:BW,10,0),0)</f>
        <v>0</v>
      </c>
      <c r="BX219" s="43">
        <f>SUM(tblSOW8[[#This Row],[Jan 2023 USD]:[Mar 2023 USD]])</f>
        <v>0</v>
      </c>
      <c r="BY219" s="43">
        <f>SUM(tblSOW8[[#This Row],[Apr 2023 USD]:[Jun 2023 USD]])</f>
        <v>0</v>
      </c>
      <c r="BZ219" s="43">
        <f>SUM(tblSOW8[[#This Row],[Jul 2023 USD]:[Sep 2023 USD]])</f>
        <v>0</v>
      </c>
      <c r="CA219" s="43">
        <f>SUM(tblSOW8[[#This Row],[Oct 2023 USD]:[Dec 2023 USD]])</f>
        <v>0</v>
      </c>
    </row>
    <row r="220" spans="1:79" s="36" customFormat="1">
      <c r="A220" s="61"/>
      <c r="B220" s="5"/>
      <c r="C220" s="5"/>
      <c r="D220" s="39"/>
      <c r="E220" s="39"/>
      <c r="F220" s="39"/>
      <c r="G220" s="5" t="e">
        <f>VLOOKUP(tblSOW8[[#This Row],[Budget Item]],'[31]Lavie Bio'!$A:$E,5,)</f>
        <v>#N/A</v>
      </c>
      <c r="H220" s="117"/>
      <c r="I220" s="3"/>
      <c r="J220" s="3"/>
      <c r="K220" s="3"/>
      <c r="L220" s="85"/>
      <c r="M220" s="45"/>
      <c r="N220" s="5"/>
      <c r="O220" s="3"/>
      <c r="P220" s="62"/>
      <c r="Q220" s="62"/>
      <c r="R220" s="5"/>
      <c r="S220" s="5"/>
      <c r="T220" s="3"/>
      <c r="U220" s="3"/>
      <c r="V220" s="3"/>
      <c r="W220" s="3"/>
      <c r="X220" s="61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  <c r="BO220" s="43"/>
      <c r="BP220" s="43">
        <f t="shared" si="18"/>
        <v>0</v>
      </c>
      <c r="BQ220" s="43">
        <f t="shared" si="18"/>
        <v>0</v>
      </c>
      <c r="BR220" s="43">
        <f t="shared" si="18"/>
        <v>0</v>
      </c>
      <c r="BS220" s="43">
        <f t="shared" si="18"/>
        <v>0</v>
      </c>
      <c r="BT220" s="43">
        <f t="shared" si="18"/>
        <v>0</v>
      </c>
      <c r="BU220" s="43">
        <f>SUM(tblSOW8[[#This Row],[P1]:[P12]])</f>
        <v>0</v>
      </c>
      <c r="BV220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220" s="43">
        <f>IFERROR(VLOOKUP(K220,[30]Parameters!BN:BW,10,0),0)</f>
        <v>0</v>
      </c>
      <c r="BX220" s="43">
        <f>SUM(tblSOW8[[#This Row],[Jan 2023 USD]:[Mar 2023 USD]])</f>
        <v>0</v>
      </c>
      <c r="BY220" s="43">
        <f>SUM(tblSOW8[[#This Row],[Apr 2023 USD]:[Jun 2023 USD]])</f>
        <v>0</v>
      </c>
      <c r="BZ220" s="43">
        <f>SUM(tblSOW8[[#This Row],[Jul 2023 USD]:[Sep 2023 USD]])</f>
        <v>0</v>
      </c>
      <c r="CA220" s="43">
        <f>SUM(tblSOW8[[#This Row],[Oct 2023 USD]:[Dec 2023 USD]])</f>
        <v>0</v>
      </c>
    </row>
    <row r="221" spans="1:79" s="36" customFormat="1" ht="40.5" customHeight="1">
      <c r="A221" s="61"/>
      <c r="B221" s="5"/>
      <c r="C221" s="5"/>
      <c r="D221" s="39"/>
      <c r="E221" s="39"/>
      <c r="F221" s="39"/>
      <c r="G221" s="5" t="e">
        <f>VLOOKUP(tblSOW8[[#This Row],[Budget Item]],'[31]Lavie Bio'!$A:$E,5,)</f>
        <v>#N/A</v>
      </c>
      <c r="H221" s="117"/>
      <c r="I221" s="3"/>
      <c r="J221" s="3"/>
      <c r="K221" s="3"/>
      <c r="L221" s="85"/>
      <c r="M221" s="45"/>
      <c r="N221" s="5"/>
      <c r="O221" s="3"/>
      <c r="P221" s="62"/>
      <c r="Q221" s="62"/>
      <c r="R221" s="5"/>
      <c r="S221" s="5"/>
      <c r="T221" s="3"/>
      <c r="U221" s="3"/>
      <c r="V221" s="3"/>
      <c r="W221" s="3"/>
      <c r="X221" s="61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>
        <f t="shared" si="18"/>
        <v>0</v>
      </c>
      <c r="BQ221" s="43">
        <f t="shared" si="18"/>
        <v>0</v>
      </c>
      <c r="BR221" s="43">
        <f t="shared" si="18"/>
        <v>0</v>
      </c>
      <c r="BS221" s="43">
        <f t="shared" si="18"/>
        <v>0</v>
      </c>
      <c r="BT221" s="43">
        <f t="shared" si="18"/>
        <v>0</v>
      </c>
      <c r="BU221" s="43">
        <f>SUM(tblSOW8[[#This Row],[P1]:[P12]])</f>
        <v>0</v>
      </c>
      <c r="BV221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221" s="43">
        <f>IFERROR(VLOOKUP(K221,[30]Parameters!BN:BW,10,0),0)</f>
        <v>0</v>
      </c>
      <c r="BX221" s="43">
        <f>SUM(tblSOW8[[#This Row],[Jan 2023 USD]:[Mar 2023 USD]])</f>
        <v>0</v>
      </c>
      <c r="BY221" s="43">
        <f>SUM(tblSOW8[[#This Row],[Apr 2023 USD]:[Jun 2023 USD]])</f>
        <v>0</v>
      </c>
      <c r="BZ221" s="43">
        <f>SUM(tblSOW8[[#This Row],[Jul 2023 USD]:[Sep 2023 USD]])</f>
        <v>0</v>
      </c>
      <c r="CA221" s="43">
        <f>SUM(tblSOW8[[#This Row],[Oct 2023 USD]:[Dec 2023 USD]])</f>
        <v>0</v>
      </c>
    </row>
    <row r="222" spans="1:79" ht="60" customHeight="1">
      <c r="A222" s="61"/>
      <c r="D222" s="39"/>
      <c r="E222" s="40"/>
      <c r="G222" s="5" t="e">
        <f>VLOOKUP(tblSOW8[[#This Row],[Budget Item]],'[31]Lavie Bio'!$A:$E,5,)</f>
        <v>#N/A</v>
      </c>
      <c r="H222" s="44"/>
      <c r="I222" s="5"/>
      <c r="J222" s="4"/>
      <c r="L222" s="85"/>
      <c r="M222" s="45"/>
      <c r="N222" s="5"/>
      <c r="O222" s="3"/>
      <c r="P222" s="62"/>
      <c r="Q222" s="62"/>
      <c r="R222" s="4"/>
      <c r="S222" s="4"/>
      <c r="T222" s="3"/>
      <c r="W222" s="3" t="str">
        <f>IF(AND(ISNUMBER(SEARCH("-T",tblSOW8[[#This Row],[Budget Item]])),NOT(ISNUMBER(tblSOW8[[#This Row],[Task Units]]))),"Please Enter Task Units",
IF(AND(ISNUMBER(SEARCH("-E000",tblSOW8[[#This Row],[Budget Item]])),NOT(ISNUMBER(tblSOW8[[#This Row],[% work on project]]))),"Please Enter Organic FTE",
IF(AND(ISNUMBER(SEARCH("-E999",tblSOW8[[#This Row],[Budget Item]])),NOT(ISNUMBER(tblSOW8[[#This Row],[External Expenses/Revenues USD]]))),"Please Enter External Expenses",
"")))</f>
        <v/>
      </c>
      <c r="X222" s="61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>
        <f t="shared" si="18"/>
        <v>0</v>
      </c>
      <c r="BQ222" s="43">
        <f t="shared" si="18"/>
        <v>0</v>
      </c>
      <c r="BR222" s="43">
        <f t="shared" si="18"/>
        <v>0</v>
      </c>
      <c r="BS222" s="43">
        <f t="shared" si="18"/>
        <v>0</v>
      </c>
      <c r="BT222" s="43">
        <f t="shared" si="18"/>
        <v>0</v>
      </c>
      <c r="BU222" s="43">
        <f>SUM(tblSOW8[[#This Row],[P1]:[P12]])</f>
        <v>0</v>
      </c>
      <c r="BV222" s="43">
        <f xml:space="preserve"> IF(AND(ISNUMBER(SEARCH("-E000",tblSOW8[[#This Row],[Budget Item]])), ISERROR(VLOOKUP(tblSOW8[[#This Row],[Employee name ]],[30]Parameters!CP:DH,19,0))),VLOOKUP(tblSOW8[[#This Row],[Employee name ]],[30]Parameters!CP:DH,19,0),IFERROR(VLOOKUP(tblSOW8[[#This Row],[Employee name ]],[30]Parameters!CP:DH,19,0),0))</f>
        <v>0</v>
      </c>
      <c r="BW222" s="43">
        <f>IFERROR(VLOOKUP(K222,[30]Parameters!BN:BW,10,0),0)</f>
        <v>0</v>
      </c>
      <c r="BX222" s="3">
        <f>SUM(tblSOW8[[#This Row],[Jan 2023 USD]:[Mar 2023 USD]])</f>
        <v>0</v>
      </c>
      <c r="BY222" s="3">
        <f>SUM(tblSOW8[[#This Row],[Apr 2023 USD]:[Jun 2023 USD]])</f>
        <v>0</v>
      </c>
      <c r="BZ222" s="3">
        <f>SUM(tblSOW8[[#This Row],[Jul 2023 USD]:[Sep 2023 USD]])</f>
        <v>0</v>
      </c>
      <c r="CA222" s="3">
        <f>SUM(tblSOW8[[#This Row],[Oct 2023 USD]:[Dec 2023 USD]])</f>
        <v>0</v>
      </c>
    </row>
    <row r="224" spans="1:79">
      <c r="O224" s="118"/>
    </row>
  </sheetData>
  <dataConsolidate/>
  <mergeCells count="1">
    <mergeCell ref="BX2:CA2"/>
  </mergeCells>
  <conditionalFormatting sqref="BY1 CC222:CC1048576 BY4:BY221">
    <cfRule type="containsText" dxfId="17" priority="65" operator="containsText" text="False">
      <formula>NOT(ISERROR(SEARCH("False",BY1)))</formula>
    </cfRule>
  </conditionalFormatting>
  <conditionalFormatting sqref="BY3:BZ3">
    <cfRule type="containsText" dxfId="16" priority="64" operator="containsText" text="False">
      <formula>NOT(ISERROR(SEARCH("False",BY3)))</formula>
    </cfRule>
  </conditionalFormatting>
  <dataValidations count="2">
    <dataValidation type="list" allowBlank="1" showInputMessage="1" showErrorMessage="1" sqref="R4:R35" xr:uid="{97B2F1F8-4C92-42BE-92AA-97EDC8DF17CB}">
      <formula1>#REF!</formula1>
    </dataValidation>
    <dataValidation type="list" allowBlank="1" showInputMessage="1" showErrorMessage="1" sqref="R36:R221" xr:uid="{C5CEA631-A307-4381-9F06-FFCBDF1B578E}">
      <formula1>#REF!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D4A26-4FBF-463B-A9E4-7DE61B482B66}">
  <sheetPr>
    <tabColor theme="5" tint="0.59999389629810485"/>
  </sheetPr>
  <dimension ref="A1:EX240"/>
  <sheetViews>
    <sheetView zoomScale="85" zoomScaleNormal="85" workbookViewId="0">
      <pane xSplit="7" ySplit="3" topLeftCell="I4" activePane="bottomRight" state="frozen"/>
      <selection pane="topRight" activeCell="H1" sqref="H1"/>
      <selection pane="bottomLeft" activeCell="A4" sqref="A4"/>
      <selection pane="bottomRight" activeCell="C12" sqref="C12"/>
    </sheetView>
  </sheetViews>
  <sheetFormatPr defaultColWidth="9" defaultRowHeight="14.4"/>
  <cols>
    <col min="1" max="1" width="25.44140625" style="5" bestFit="1" customWidth="1"/>
    <col min="2" max="2" width="10.109375" style="3" customWidth="1"/>
    <col min="3" max="3" width="11.33203125" style="3" customWidth="1"/>
    <col min="4" max="4" width="9.5546875" style="4" customWidth="1"/>
    <col min="5" max="5" width="14.88671875" style="4" customWidth="1"/>
    <col min="6" max="6" width="22.6640625" style="4" customWidth="1"/>
    <col min="7" max="7" width="33.109375" style="4" customWidth="1"/>
    <col min="8" max="8" width="17.33203125" style="5" bestFit="1" customWidth="1"/>
    <col min="9" max="9" width="20.88671875" style="3" customWidth="1"/>
    <col min="10" max="10" width="27.44140625" bestFit="1" customWidth="1"/>
    <col min="11" max="11" width="35.109375" style="3" bestFit="1" customWidth="1"/>
    <col min="12" max="12" width="17.88671875" hidden="1" customWidth="1"/>
    <col min="13" max="13" width="26.5546875" style="63" hidden="1" customWidth="1"/>
    <col min="14" max="14" width="31" hidden="1" customWidth="1"/>
    <col min="15" max="15" width="18" style="7" hidden="1" customWidth="1"/>
    <col min="16" max="16" width="12.44140625" style="8" hidden="1" customWidth="1"/>
    <col min="17" max="17" width="13.6640625" style="8" hidden="1" customWidth="1"/>
    <col min="18" max="18" width="30.88671875" hidden="1" customWidth="1"/>
    <col min="19" max="20" width="0" hidden="1" customWidth="1"/>
    <col min="21" max="21" width="12" style="3" hidden="1" customWidth="1"/>
    <col min="22" max="22" width="22.109375" style="3" hidden="1" customWidth="1"/>
    <col min="23" max="23" width="31.109375" style="3" hidden="1" customWidth="1"/>
    <col min="24" max="24" width="18.33203125" style="3" bestFit="1" customWidth="1"/>
    <col min="25" max="25" width="13.33203125" style="3" customWidth="1"/>
    <col min="26" max="26" width="13.5546875" style="3" customWidth="1"/>
    <col min="27" max="27" width="14.88671875" style="3" customWidth="1"/>
    <col min="28" max="28" width="14.44140625" style="5" customWidth="1"/>
    <col min="29" max="29" width="14.88671875" style="3" customWidth="1"/>
    <col min="30" max="31" width="15.109375" style="3" customWidth="1"/>
    <col min="32" max="32" width="14.5546875" style="3" customWidth="1"/>
    <col min="33" max="33" width="15.109375" style="3" customWidth="1"/>
    <col min="34" max="34" width="15" style="3" customWidth="1"/>
    <col min="35" max="35" width="14.44140625" style="3" customWidth="1"/>
    <col min="36" max="37" width="15.109375" style="3" customWidth="1"/>
    <col min="38" max="38" width="14.88671875" style="3" customWidth="1"/>
    <col min="39" max="39" width="15.44140625" style="3" customWidth="1"/>
    <col min="40" max="40" width="15.109375" style="3" customWidth="1"/>
    <col min="41" max="41" width="14.44140625" style="3" customWidth="1"/>
    <col min="42" max="43" width="14.5546875" style="3" customWidth="1"/>
    <col min="44" max="44" width="14.44140625" style="3" customWidth="1"/>
    <col min="45" max="45" width="14.88671875" style="3" customWidth="1"/>
    <col min="46" max="46" width="14.5546875" style="3" customWidth="1"/>
    <col min="47" max="47" width="14" style="3" customWidth="1"/>
    <col min="48" max="48" width="14.5546875" style="3" customWidth="1"/>
    <col min="49" max="49" width="14.88671875" style="3" customWidth="1"/>
    <col min="50" max="50" width="14.44140625" style="3" customWidth="1"/>
    <col min="51" max="51" width="15" style="3" customWidth="1"/>
    <col min="52" max="52" width="14.88671875" style="3" customWidth="1"/>
    <col min="53" max="53" width="15.44140625" style="3" customWidth="1"/>
    <col min="54" max="55" width="15.5546875" style="3" customWidth="1"/>
    <col min="56" max="56" width="15.44140625" style="3" customWidth="1"/>
    <col min="57" max="57" width="15.88671875" style="3" customWidth="1"/>
    <col min="58" max="58" width="15.5546875" style="3" customWidth="1"/>
    <col min="59" max="59" width="15" style="3" customWidth="1"/>
    <col min="60" max="60" width="15.5546875" style="3" customWidth="1"/>
    <col min="61" max="61" width="15.88671875" style="3" customWidth="1"/>
    <col min="62" max="62" width="15.44140625" style="3" customWidth="1"/>
    <col min="63" max="63" width="16" style="3" customWidth="1"/>
    <col min="64" max="64" width="15.88671875" style="3" customWidth="1"/>
    <col min="65" max="73" width="9.109375" style="3" customWidth="1"/>
    <col min="74" max="74" width="12.44140625" style="3" customWidth="1"/>
    <col min="75" max="75" width="13.88671875" style="3" customWidth="1"/>
    <col min="76" max="77" width="9.109375" style="3" customWidth="1"/>
    <col min="78" max="78" width="11" style="3" customWidth="1"/>
    <col min="79" max="79" width="11.5546875" style="3" customWidth="1"/>
    <col min="80" max="80" width="2.88671875" style="4" customWidth="1"/>
    <col min="81" max="81" width="32.109375" style="4" bestFit="1" customWidth="1"/>
    <col min="82" max="82" width="22.109375" style="4" bestFit="1" customWidth="1"/>
    <col min="83" max="83" width="11.44140625" style="4" bestFit="1" customWidth="1"/>
    <col min="84" max="84" width="10.109375" style="4" bestFit="1" customWidth="1"/>
    <col min="85" max="85" width="9.88671875" style="4" bestFit="1" customWidth="1"/>
    <col min="86" max="16384" width="9" style="4"/>
  </cols>
  <sheetData>
    <row r="1" spans="1:154" ht="15" thickBot="1">
      <c r="A1" s="1" t="s">
        <v>0</v>
      </c>
      <c r="B1" s="2">
        <f>AVERAGE([29]Parameters!AH2:AS2)</f>
        <v>3.399999999999999</v>
      </c>
      <c r="G1"/>
      <c r="J1" s="3"/>
      <c r="M1" s="6"/>
      <c r="R1" s="3"/>
      <c r="S1" s="9"/>
      <c r="T1" s="77"/>
      <c r="U1" s="77"/>
      <c r="V1" s="11"/>
      <c r="W1" s="11"/>
      <c r="X1" s="78">
        <f>SUM(tblSOW7[Budget total cost])</f>
        <v>324272.20684915938</v>
      </c>
      <c r="AB1" s="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3">
        <v>1</v>
      </c>
      <c r="BJ1" s="3">
        <v>2</v>
      </c>
      <c r="BK1" s="3">
        <v>3</v>
      </c>
      <c r="BL1" s="3">
        <v>4</v>
      </c>
      <c r="BM1" s="3">
        <v>5</v>
      </c>
      <c r="BN1" s="3">
        <v>6</v>
      </c>
      <c r="BO1" s="3">
        <v>7</v>
      </c>
      <c r="BP1" s="3">
        <v>8</v>
      </c>
      <c r="BQ1" s="3">
        <v>9</v>
      </c>
      <c r="BR1" s="3">
        <v>10</v>
      </c>
      <c r="BS1" s="3">
        <v>11</v>
      </c>
      <c r="BT1" s="3">
        <v>12</v>
      </c>
      <c r="BX1" s="4"/>
      <c r="BY1" s="14"/>
      <c r="BZ1" s="4">
        <f>SUM(CD4:CD1048576)</f>
        <v>0</v>
      </c>
      <c r="CA1" s="4"/>
    </row>
    <row r="2" spans="1:154" s="18" customFormat="1" ht="29.4" thickBot="1">
      <c r="A2" s="15" t="s">
        <v>1</v>
      </c>
      <c r="B2" s="15" t="s">
        <v>2</v>
      </c>
      <c r="C2" s="15" t="s">
        <v>2</v>
      </c>
      <c r="D2" s="15" t="s">
        <v>2</v>
      </c>
      <c r="E2" s="15" t="s">
        <v>3</v>
      </c>
      <c r="F2" s="15" t="s">
        <v>4</v>
      </c>
      <c r="G2" s="16" t="s">
        <v>5</v>
      </c>
      <c r="H2" s="15" t="s">
        <v>1</v>
      </c>
      <c r="I2" s="15" t="s">
        <v>6</v>
      </c>
      <c r="J2" s="15" t="s">
        <v>7</v>
      </c>
      <c r="K2" s="17" t="s">
        <v>8</v>
      </c>
      <c r="L2" s="15" t="s">
        <v>1</v>
      </c>
      <c r="M2" s="14"/>
      <c r="P2" s="19"/>
      <c r="Q2" s="19"/>
      <c r="R2" s="20" t="s">
        <v>9</v>
      </c>
      <c r="S2" s="15" t="s">
        <v>1</v>
      </c>
      <c r="V2" s="21"/>
      <c r="W2" s="21"/>
      <c r="X2" s="79" t="s">
        <v>10</v>
      </c>
      <c r="Y2" s="23" t="s">
        <v>11</v>
      </c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5"/>
      <c r="AK2" s="23" t="s">
        <v>12</v>
      </c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5"/>
      <c r="AW2" s="23" t="s">
        <v>13</v>
      </c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5"/>
      <c r="BI2" s="23" t="s">
        <v>14</v>
      </c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5"/>
    </row>
    <row r="3" spans="1:154" s="38" customFormat="1" ht="43.2">
      <c r="A3" s="26" t="s">
        <v>15</v>
      </c>
      <c r="B3" s="26" t="s">
        <v>16</v>
      </c>
      <c r="C3" s="26" t="s">
        <v>17</v>
      </c>
      <c r="D3" s="27" t="s">
        <v>18</v>
      </c>
      <c r="E3" s="27" t="s">
        <v>19</v>
      </c>
      <c r="F3" s="27" t="s">
        <v>20</v>
      </c>
      <c r="G3" s="27" t="s">
        <v>21</v>
      </c>
      <c r="H3" s="26" t="s">
        <v>22</v>
      </c>
      <c r="I3" s="26" t="s">
        <v>23</v>
      </c>
      <c r="J3" s="26" t="s">
        <v>24</v>
      </c>
      <c r="K3" s="26" t="s">
        <v>25</v>
      </c>
      <c r="L3" s="28" t="s">
        <v>26</v>
      </c>
      <c r="M3" s="29" t="s">
        <v>27</v>
      </c>
      <c r="N3" s="30" t="s">
        <v>28</v>
      </c>
      <c r="O3" s="31" t="s">
        <v>29</v>
      </c>
      <c r="P3" s="96" t="s">
        <v>30</v>
      </c>
      <c r="Q3" s="96" t="s">
        <v>31</v>
      </c>
      <c r="R3" s="26" t="s">
        <v>32</v>
      </c>
      <c r="S3" s="26" t="s">
        <v>33</v>
      </c>
      <c r="T3" s="33" t="s">
        <v>34</v>
      </c>
      <c r="U3" s="34" t="s">
        <v>35</v>
      </c>
      <c r="V3" s="34" t="s">
        <v>36</v>
      </c>
      <c r="W3" s="34" t="s">
        <v>37</v>
      </c>
      <c r="X3" s="34" t="s">
        <v>38</v>
      </c>
      <c r="Y3" s="33" t="s">
        <v>39</v>
      </c>
      <c r="Z3" s="33" t="s">
        <v>40</v>
      </c>
      <c r="AA3" s="33" t="s">
        <v>41</v>
      </c>
      <c r="AB3" s="33" t="s">
        <v>42</v>
      </c>
      <c r="AC3" s="33" t="s">
        <v>43</v>
      </c>
      <c r="AD3" s="33" t="s">
        <v>44</v>
      </c>
      <c r="AE3" s="33" t="s">
        <v>45</v>
      </c>
      <c r="AF3" s="33" t="s">
        <v>46</v>
      </c>
      <c r="AG3" s="33" t="s">
        <v>47</v>
      </c>
      <c r="AH3" s="33" t="s">
        <v>48</v>
      </c>
      <c r="AI3" s="33" t="s">
        <v>49</v>
      </c>
      <c r="AJ3" s="33" t="s">
        <v>50</v>
      </c>
      <c r="AK3" s="33" t="s">
        <v>51</v>
      </c>
      <c r="AL3" s="33" t="s">
        <v>52</v>
      </c>
      <c r="AM3" s="33" t="s">
        <v>53</v>
      </c>
      <c r="AN3" s="33" t="s">
        <v>54</v>
      </c>
      <c r="AO3" s="33" t="s">
        <v>55</v>
      </c>
      <c r="AP3" s="33" t="s">
        <v>56</v>
      </c>
      <c r="AQ3" s="33" t="s">
        <v>57</v>
      </c>
      <c r="AR3" s="33" t="s">
        <v>58</v>
      </c>
      <c r="AS3" s="33" t="s">
        <v>59</v>
      </c>
      <c r="AT3" s="33" t="s">
        <v>60</v>
      </c>
      <c r="AU3" s="33" t="s">
        <v>61</v>
      </c>
      <c r="AV3" s="33" t="s">
        <v>62</v>
      </c>
      <c r="AW3" s="33" t="s">
        <v>63</v>
      </c>
      <c r="AX3" s="33" t="s">
        <v>64</v>
      </c>
      <c r="AY3" s="33" t="s">
        <v>65</v>
      </c>
      <c r="AZ3" s="33" t="s">
        <v>66</v>
      </c>
      <c r="BA3" s="33" t="s">
        <v>67</v>
      </c>
      <c r="BB3" s="33" t="s">
        <v>68</v>
      </c>
      <c r="BC3" s="33" t="s">
        <v>69</v>
      </c>
      <c r="BD3" s="33" t="s">
        <v>70</v>
      </c>
      <c r="BE3" s="33" t="s">
        <v>71</v>
      </c>
      <c r="BF3" s="33" t="s">
        <v>72</v>
      </c>
      <c r="BG3" s="33" t="s">
        <v>73</v>
      </c>
      <c r="BH3" s="33" t="s">
        <v>74</v>
      </c>
      <c r="BI3" s="33" t="s">
        <v>75</v>
      </c>
      <c r="BJ3" s="33" t="s">
        <v>76</v>
      </c>
      <c r="BK3" s="33" t="s">
        <v>77</v>
      </c>
      <c r="BL3" s="33" t="s">
        <v>78</v>
      </c>
      <c r="BM3" s="33" t="s">
        <v>79</v>
      </c>
      <c r="BN3" s="33" t="s">
        <v>80</v>
      </c>
      <c r="BO3" s="33" t="s">
        <v>81</v>
      </c>
      <c r="BP3" s="33" t="s">
        <v>82</v>
      </c>
      <c r="BQ3" s="33" t="s">
        <v>83</v>
      </c>
      <c r="BR3" s="33" t="s">
        <v>84</v>
      </c>
      <c r="BS3" s="33" t="s">
        <v>85</v>
      </c>
      <c r="BT3" s="33" t="s">
        <v>86</v>
      </c>
      <c r="BU3" s="33" t="s">
        <v>87</v>
      </c>
      <c r="BV3" s="33" t="s">
        <v>88</v>
      </c>
      <c r="BW3" s="33" t="s">
        <v>89</v>
      </c>
      <c r="BX3" s="36"/>
      <c r="BY3" s="37"/>
      <c r="BZ3" s="4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6"/>
      <c r="CQ3" s="36"/>
      <c r="CR3" s="36"/>
      <c r="CS3" s="36"/>
      <c r="CT3" s="36"/>
      <c r="CU3" s="36"/>
      <c r="CV3" s="36"/>
      <c r="CW3" s="36"/>
      <c r="CX3" s="36"/>
      <c r="CY3" s="36"/>
      <c r="CZ3" s="36"/>
      <c r="DA3" s="36"/>
      <c r="DB3" s="36"/>
      <c r="DC3" s="36"/>
      <c r="DD3" s="36"/>
      <c r="DE3" s="36"/>
      <c r="DF3" s="36"/>
      <c r="DG3" s="36"/>
      <c r="DH3" s="36"/>
      <c r="DI3" s="36"/>
      <c r="DJ3" s="36"/>
      <c r="DK3" s="36"/>
      <c r="DL3" s="36"/>
      <c r="DM3" s="36"/>
      <c r="DN3" s="36"/>
      <c r="DO3" s="36"/>
      <c r="DP3" s="36"/>
      <c r="DQ3" s="36"/>
      <c r="DR3" s="36"/>
      <c r="DS3" s="36"/>
      <c r="DT3" s="36"/>
      <c r="DU3" s="36"/>
      <c r="DV3" s="36"/>
      <c r="DW3" s="36"/>
      <c r="DX3" s="36"/>
      <c r="DY3" s="36"/>
      <c r="DZ3" s="36"/>
      <c r="EA3" s="36"/>
      <c r="EB3" s="36"/>
      <c r="EC3" s="36"/>
      <c r="ED3" s="36"/>
      <c r="EE3" s="36"/>
      <c r="EF3" s="36"/>
      <c r="EG3" s="36"/>
      <c r="EH3" s="36"/>
      <c r="EI3" s="36"/>
      <c r="EJ3" s="36"/>
      <c r="EK3" s="36"/>
      <c r="EL3" s="36"/>
      <c r="EM3" s="36"/>
      <c r="EN3" s="36"/>
      <c r="EO3" s="36"/>
      <c r="EP3" s="36"/>
      <c r="EQ3" s="36"/>
      <c r="ER3" s="36"/>
      <c r="ES3" s="36"/>
      <c r="ET3" s="36"/>
      <c r="EU3" s="36"/>
      <c r="EV3" s="36"/>
      <c r="EW3" s="36"/>
      <c r="EX3" s="36"/>
    </row>
    <row r="4" spans="1:154" s="75" customFormat="1">
      <c r="A4" s="67" t="str">
        <f>CONCATENATE(INDEX([29]Parameters!$U$1:$V$20,MATCH(C4,[29]Parameters!$V$1:$V$20,0),1),"/",VLOOKUP(D4,[29]Parameters!$CG$1:$CH$12,2,0),".",E4,".",H4,".",LEFT(J4,3),"-",LEFT(K4,4))</f>
        <v>B70/20.P255.405.950-T103</v>
      </c>
      <c r="B4" s="67" t="s">
        <v>123</v>
      </c>
      <c r="C4" s="67" t="s">
        <v>123</v>
      </c>
      <c r="D4" s="39" t="s">
        <v>95</v>
      </c>
      <c r="E4" s="40" t="str">
        <f>VLOOKUP(F4,[29]Parameters!P:T,4,0)</f>
        <v>P255</v>
      </c>
      <c r="F4" s="39" t="s">
        <v>126</v>
      </c>
      <c r="G4" s="67"/>
      <c r="H4" s="67">
        <f>INDEX([29]Parameters!$B:$C,MATCH(I4,[29]Parameters!$C:$C,0),1)</f>
        <v>405</v>
      </c>
      <c r="I4" s="68" t="s">
        <v>98</v>
      </c>
      <c r="J4" s="68" t="s">
        <v>94</v>
      </c>
      <c r="K4" s="68" t="s">
        <v>99</v>
      </c>
      <c r="L4" s="68" t="str">
        <f>IFERROR(VLOOKUP(tblSOW7[[#This Row],[Employee name ]],[29]Parameters!CP:CS,4,0),"")</f>
        <v/>
      </c>
      <c r="M4" s="69"/>
      <c r="N4" s="67" t="s">
        <v>128</v>
      </c>
      <c r="O4" s="76"/>
      <c r="P4" s="72">
        <v>44927</v>
      </c>
      <c r="Q4" s="72">
        <v>45016</v>
      </c>
      <c r="R4" s="67"/>
      <c r="S4" s="67">
        <f t="shared" ref="S4:S24" si="0">IF(OR(P4="",Q4=""),0,MONTH(Q4)-MONTH(P4)+1)</f>
        <v>3</v>
      </c>
      <c r="T4" s="68"/>
      <c r="U4" s="68">
        <v>5</v>
      </c>
      <c r="V4" s="68"/>
      <c r="W4" s="68"/>
      <c r="X4" s="67">
        <f>SUM(tblSOW7[[#This Row],[Jan 2023 USD]:[Dec 2023 USD]])</f>
        <v>4272.2782855302958</v>
      </c>
      <c r="Y4" s="74">
        <f>tblSOW7[[#This Row],[FTE Cost]]*tblSOW7[[#This Row],[% work on project]]*AK4/tblSOW7[[#This Row],[Duration]]+tblSOW7[[#This Row],[Task Cost]]*AW4+tblSOW7[[#This Row],[External Expenses/Revenues USD]]*BI4/tblSOW7[[#This Row],[Duration]]</f>
        <v>1424.0927618434321</v>
      </c>
      <c r="Z4" s="74">
        <f>tblSOW7[[#This Row],[FTE Cost]]*tblSOW7[[#This Row],[% work on project]]*AL4/tblSOW7[[#This Row],[Duration]]+tblSOW7[[#This Row],[Task Cost]]*AX4+tblSOW7[[#This Row],[External Expenses/Revenues USD]]*BJ4/tblSOW7[[#This Row],[Duration]]</f>
        <v>1424.0927618434321</v>
      </c>
      <c r="AA4" s="74">
        <f>tblSOW7[[#This Row],[FTE Cost]]*tblSOW7[[#This Row],[% work on project]]*AM4/tblSOW7[[#This Row],[Duration]]+tblSOW7[[#This Row],[Task Cost]]*AY4+tblSOW7[[#This Row],[External Expenses/Revenues USD]]*BK4/tblSOW7[[#This Row],[Duration]]</f>
        <v>1424.0927618434321</v>
      </c>
      <c r="AB4" s="74">
        <f>tblSOW7[[#This Row],[FTE Cost]]*tblSOW7[[#This Row],[% work on project]]*AN4/tblSOW7[[#This Row],[Duration]]+tblSOW7[[#This Row],[Task Cost]]*AZ4+tblSOW7[[#This Row],[External Expenses/Revenues USD]]*BL4/tblSOW7[[#This Row],[Duration]]</f>
        <v>0</v>
      </c>
      <c r="AC4" s="74">
        <f>tblSOW7[[#This Row],[FTE Cost]]*tblSOW7[[#This Row],[% work on project]]*AO4/tblSOW7[[#This Row],[Duration]]+tblSOW7[[#This Row],[Task Cost]]*BA4+tblSOW7[[#This Row],[External Expenses/Revenues USD]]*BM4/tblSOW7[[#This Row],[Duration]]</f>
        <v>0</v>
      </c>
      <c r="AD4" s="74">
        <f>tblSOW7[[#This Row],[FTE Cost]]*tblSOW7[[#This Row],[% work on project]]*AP4/tblSOW7[[#This Row],[Duration]]+tblSOW7[[#This Row],[Task Cost]]*BB4+tblSOW7[[#This Row],[External Expenses/Revenues USD]]*BN4/tblSOW7[[#This Row],[Duration]]</f>
        <v>0</v>
      </c>
      <c r="AE4" s="74">
        <f>tblSOW7[[#This Row],[FTE Cost]]*tblSOW7[[#This Row],[% work on project]]*AQ4/tblSOW7[[#This Row],[Duration]]+tblSOW7[[#This Row],[Task Cost]]*BC4+tblSOW7[[#This Row],[External Expenses/Revenues USD]]*BO4/tblSOW7[[#This Row],[Duration]]</f>
        <v>0</v>
      </c>
      <c r="AF4" s="74">
        <f>tblSOW7[[#This Row],[FTE Cost]]*tblSOW7[[#This Row],[% work on project]]*AR4/tblSOW7[[#This Row],[Duration]]+tblSOW7[[#This Row],[Task Cost]]*BD4+tblSOW7[[#This Row],[External Expenses/Revenues USD]]*BP4/tblSOW7[[#This Row],[Duration]]</f>
        <v>0</v>
      </c>
      <c r="AG4" s="74">
        <f>tblSOW7[[#This Row],[FTE Cost]]*tblSOW7[[#This Row],[% work on project]]*AS4/tblSOW7[[#This Row],[Duration]]+tblSOW7[[#This Row],[Task Cost]]*BE4+tblSOW7[[#This Row],[External Expenses/Revenues USD]]*BQ4/tblSOW7[[#This Row],[Duration]]</f>
        <v>0</v>
      </c>
      <c r="AH4" s="74">
        <f>tblSOW7[[#This Row],[FTE Cost]]*tblSOW7[[#This Row],[% work on project]]*AT4/tblSOW7[[#This Row],[Duration]]+tblSOW7[[#This Row],[Task Cost]]*BF4+tblSOW7[[#This Row],[External Expenses/Revenues USD]]*BR4/tblSOW7[[#This Row],[Duration]]</f>
        <v>0</v>
      </c>
      <c r="AI4" s="74">
        <f>tblSOW7[[#This Row],[FTE Cost]]*tblSOW7[[#This Row],[% work on project]]*AU4/tblSOW7[[#This Row],[Duration]]+tblSOW7[[#This Row],[Task Cost]]*BG4+tblSOW7[[#This Row],[External Expenses/Revenues USD]]*BS4/tblSOW7[[#This Row],[Duration]]</f>
        <v>0</v>
      </c>
      <c r="AJ4" s="74">
        <f>tblSOW7[[#This Row],[FTE Cost]]*tblSOW7[[#This Row],[% work on project]]*AV4/tblSOW7[[#This Row],[Duration]]+tblSOW7[[#This Row],[Task Cost]]*BH4+tblSOW7[[#This Row],[External Expenses/Revenues USD]]*BT4/tblSOW7[[#This Row],[Duration]]</f>
        <v>0</v>
      </c>
      <c r="AK4" s="74">
        <f t="shared" ref="AK4:AV21" si="1">$S4/$BU4*BI4</f>
        <v>1</v>
      </c>
      <c r="AL4" s="74">
        <f t="shared" si="1"/>
        <v>1</v>
      </c>
      <c r="AM4" s="74">
        <f t="shared" si="1"/>
        <v>1</v>
      </c>
      <c r="AN4" s="74">
        <f t="shared" si="1"/>
        <v>0</v>
      </c>
      <c r="AO4" s="74">
        <f t="shared" si="1"/>
        <v>0</v>
      </c>
      <c r="AP4" s="74">
        <f t="shared" si="1"/>
        <v>0</v>
      </c>
      <c r="AQ4" s="74">
        <f t="shared" si="1"/>
        <v>0</v>
      </c>
      <c r="AR4" s="74">
        <f t="shared" si="1"/>
        <v>0</v>
      </c>
      <c r="AS4" s="74">
        <f t="shared" si="1"/>
        <v>0</v>
      </c>
      <c r="AT4" s="74">
        <f t="shared" si="1"/>
        <v>0</v>
      </c>
      <c r="AU4" s="74">
        <f t="shared" si="1"/>
        <v>0</v>
      </c>
      <c r="AV4" s="74">
        <f t="shared" si="1"/>
        <v>0</v>
      </c>
      <c r="AW4" s="74">
        <f t="shared" ref="AW4:BH21" si="2">$U4/$BU4*BI4</f>
        <v>1.6666666666666667</v>
      </c>
      <c r="AX4" s="74">
        <f t="shared" si="2"/>
        <v>1.6666666666666667</v>
      </c>
      <c r="AY4" s="74">
        <f t="shared" si="2"/>
        <v>1.6666666666666667</v>
      </c>
      <c r="AZ4" s="74">
        <f t="shared" si="2"/>
        <v>0</v>
      </c>
      <c r="BA4" s="74">
        <f t="shared" si="2"/>
        <v>0</v>
      </c>
      <c r="BB4" s="74">
        <f t="shared" si="2"/>
        <v>0</v>
      </c>
      <c r="BC4" s="74">
        <f t="shared" si="2"/>
        <v>0</v>
      </c>
      <c r="BD4" s="74">
        <f t="shared" si="2"/>
        <v>0</v>
      </c>
      <c r="BE4" s="74">
        <f t="shared" si="2"/>
        <v>0</v>
      </c>
      <c r="BF4" s="74">
        <f t="shared" si="2"/>
        <v>0</v>
      </c>
      <c r="BG4" s="74">
        <f t="shared" si="2"/>
        <v>0</v>
      </c>
      <c r="BH4" s="74">
        <f t="shared" si="2"/>
        <v>0</v>
      </c>
      <c r="BI4" s="74">
        <f t="shared" ref="BI4:BT21" si="3">IF($S4&gt;0,IF(AND(MONTH($P4)&lt;=BI$1,MONTH($Q4)&gt;=BI$1),1,0),0)</f>
        <v>1</v>
      </c>
      <c r="BJ4" s="74">
        <f t="shared" si="3"/>
        <v>1</v>
      </c>
      <c r="BK4" s="74">
        <f t="shared" si="3"/>
        <v>1</v>
      </c>
      <c r="BL4" s="74">
        <f t="shared" si="3"/>
        <v>0</v>
      </c>
      <c r="BM4" s="74">
        <f t="shared" si="3"/>
        <v>0</v>
      </c>
      <c r="BN4" s="74">
        <f t="shared" si="3"/>
        <v>0</v>
      </c>
      <c r="BO4" s="74">
        <f t="shared" si="3"/>
        <v>0</v>
      </c>
      <c r="BP4" s="74">
        <f t="shared" si="3"/>
        <v>0</v>
      </c>
      <c r="BQ4" s="74">
        <f t="shared" si="3"/>
        <v>0</v>
      </c>
      <c r="BR4" s="74">
        <f t="shared" si="3"/>
        <v>0</v>
      </c>
      <c r="BS4" s="74">
        <f t="shared" si="3"/>
        <v>0</v>
      </c>
      <c r="BT4" s="74">
        <f t="shared" si="3"/>
        <v>0</v>
      </c>
      <c r="BU4" s="74">
        <f>SUM(tblSOW7[[#This Row],[P1]:[P12]])</f>
        <v>3</v>
      </c>
      <c r="BV4" s="74">
        <f xml:space="preserve"> IF(AND(ISNUMBER(SEARCH("-E000",tblSOW7[[#This Row],[Budget Item]])), ISERROR(VLOOKUP(tblSOW7[[#This Row],[Employee name ]],[29]Parameters!CP:DH,19,0))),VLOOKUP(tblSOW7[[#This Row],[Employee name ]],[29]Parameters!CP:DH,19,0),IFERROR(VLOOKUP(tblSOW7[[#This Row],[Employee name ]],[29]Parameters!CP:DH,19,0),0))</f>
        <v>0</v>
      </c>
      <c r="BW4" s="74">
        <f>IFERROR(VLOOKUP(K4,[29]Parameters!BN:BW,10,0),0)</f>
        <v>854.45565710605922</v>
      </c>
    </row>
    <row r="5" spans="1:154" s="75" customFormat="1">
      <c r="A5" s="67" t="str">
        <f>CONCATENATE(INDEX([29]Parameters!$U$1:$V$20,MATCH(C5,[29]Parameters!$V$1:$V$20,0),1),"/",VLOOKUP(D5,[29]Parameters!$CG$1:$CH$12,2,0),".",E5,".",H5,".",LEFT(J5,3),"-",LEFT(K5,4))</f>
        <v>B70/20.P255.405.950-T103</v>
      </c>
      <c r="B5" s="67" t="s">
        <v>123</v>
      </c>
      <c r="C5" s="67" t="s">
        <v>123</v>
      </c>
      <c r="D5" s="39" t="s">
        <v>95</v>
      </c>
      <c r="E5" s="40" t="str">
        <f>VLOOKUP(F5,[29]Parameters!P:T,4,0)</f>
        <v>P255</v>
      </c>
      <c r="F5" s="39" t="s">
        <v>126</v>
      </c>
      <c r="G5" s="67"/>
      <c r="H5" s="67">
        <f>INDEX([29]Parameters!$B:$C,MATCH(I5,[29]Parameters!$C:$C,0),1)</f>
        <v>405</v>
      </c>
      <c r="I5" s="68" t="s">
        <v>98</v>
      </c>
      <c r="J5" s="68" t="s">
        <v>94</v>
      </c>
      <c r="K5" s="68" t="s">
        <v>99</v>
      </c>
      <c r="L5" s="68" t="str">
        <f>IFERROR(VLOOKUP(tblSOW7[[#This Row],[Employee name ]],[29]Parameters!CP:CS,4,0),"")</f>
        <v/>
      </c>
      <c r="M5" s="69"/>
      <c r="N5" s="67" t="s">
        <v>129</v>
      </c>
      <c r="O5" s="76"/>
      <c r="P5" s="72">
        <v>44927</v>
      </c>
      <c r="Q5" s="72">
        <v>45016</v>
      </c>
      <c r="R5" s="67"/>
      <c r="S5" s="67">
        <f t="shared" si="0"/>
        <v>3</v>
      </c>
      <c r="T5" s="68"/>
      <c r="U5" s="68">
        <v>15</v>
      </c>
      <c r="V5" s="68"/>
      <c r="W5" s="68"/>
      <c r="X5" s="67">
        <f>SUM(tblSOW7[[#This Row],[Jan 2023 USD]:[Dec 2023 USD]])</f>
        <v>12816.834856590887</v>
      </c>
      <c r="Y5" s="74">
        <f>tblSOW7[[#This Row],[FTE Cost]]*tblSOW7[[#This Row],[% work on project]]*AK5/tblSOW7[[#This Row],[Duration]]+tblSOW7[[#This Row],[Task Cost]]*AW5+tblSOW7[[#This Row],[External Expenses/Revenues USD]]*BI5/tblSOW7[[#This Row],[Duration]]</f>
        <v>4272.2782855302958</v>
      </c>
      <c r="Z5" s="74">
        <f>tblSOW7[[#This Row],[FTE Cost]]*tblSOW7[[#This Row],[% work on project]]*AL5/tblSOW7[[#This Row],[Duration]]+tblSOW7[[#This Row],[Task Cost]]*AX5+tblSOW7[[#This Row],[External Expenses/Revenues USD]]*BJ5/tblSOW7[[#This Row],[Duration]]</f>
        <v>4272.2782855302958</v>
      </c>
      <c r="AA5" s="74">
        <f>tblSOW7[[#This Row],[FTE Cost]]*tblSOW7[[#This Row],[% work on project]]*AM5/tblSOW7[[#This Row],[Duration]]+tblSOW7[[#This Row],[Task Cost]]*AY5+tblSOW7[[#This Row],[External Expenses/Revenues USD]]*BK5/tblSOW7[[#This Row],[Duration]]</f>
        <v>4272.2782855302958</v>
      </c>
      <c r="AB5" s="74">
        <f>tblSOW7[[#This Row],[FTE Cost]]*tblSOW7[[#This Row],[% work on project]]*AN5/tblSOW7[[#This Row],[Duration]]+tblSOW7[[#This Row],[Task Cost]]*AZ5+tblSOW7[[#This Row],[External Expenses/Revenues USD]]*BL5/tblSOW7[[#This Row],[Duration]]</f>
        <v>0</v>
      </c>
      <c r="AC5" s="74">
        <f>tblSOW7[[#This Row],[FTE Cost]]*tblSOW7[[#This Row],[% work on project]]*AO5/tblSOW7[[#This Row],[Duration]]+tblSOW7[[#This Row],[Task Cost]]*BA5+tblSOW7[[#This Row],[External Expenses/Revenues USD]]*BM5/tblSOW7[[#This Row],[Duration]]</f>
        <v>0</v>
      </c>
      <c r="AD5" s="74">
        <f>tblSOW7[[#This Row],[FTE Cost]]*tblSOW7[[#This Row],[% work on project]]*AP5/tblSOW7[[#This Row],[Duration]]+tblSOW7[[#This Row],[Task Cost]]*BB5+tblSOW7[[#This Row],[External Expenses/Revenues USD]]*BN5/tblSOW7[[#This Row],[Duration]]</f>
        <v>0</v>
      </c>
      <c r="AE5" s="74">
        <f>tblSOW7[[#This Row],[FTE Cost]]*tblSOW7[[#This Row],[% work on project]]*AQ5/tblSOW7[[#This Row],[Duration]]+tblSOW7[[#This Row],[Task Cost]]*BC5+tblSOW7[[#This Row],[External Expenses/Revenues USD]]*BO5/tblSOW7[[#This Row],[Duration]]</f>
        <v>0</v>
      </c>
      <c r="AF5" s="74">
        <f>tblSOW7[[#This Row],[FTE Cost]]*tblSOW7[[#This Row],[% work on project]]*AR5/tblSOW7[[#This Row],[Duration]]+tblSOW7[[#This Row],[Task Cost]]*BD5+tblSOW7[[#This Row],[External Expenses/Revenues USD]]*BP5/tblSOW7[[#This Row],[Duration]]</f>
        <v>0</v>
      </c>
      <c r="AG5" s="74">
        <f>tblSOW7[[#This Row],[FTE Cost]]*tblSOW7[[#This Row],[% work on project]]*AS5/tblSOW7[[#This Row],[Duration]]+tblSOW7[[#This Row],[Task Cost]]*BE5+tblSOW7[[#This Row],[External Expenses/Revenues USD]]*BQ5/tblSOW7[[#This Row],[Duration]]</f>
        <v>0</v>
      </c>
      <c r="AH5" s="74">
        <f>tblSOW7[[#This Row],[FTE Cost]]*tblSOW7[[#This Row],[% work on project]]*AT5/tblSOW7[[#This Row],[Duration]]+tblSOW7[[#This Row],[Task Cost]]*BF5+tblSOW7[[#This Row],[External Expenses/Revenues USD]]*BR5/tblSOW7[[#This Row],[Duration]]</f>
        <v>0</v>
      </c>
      <c r="AI5" s="74">
        <f>tblSOW7[[#This Row],[FTE Cost]]*tblSOW7[[#This Row],[% work on project]]*AU5/tblSOW7[[#This Row],[Duration]]+tblSOW7[[#This Row],[Task Cost]]*BG5+tblSOW7[[#This Row],[External Expenses/Revenues USD]]*BS5/tblSOW7[[#This Row],[Duration]]</f>
        <v>0</v>
      </c>
      <c r="AJ5" s="74">
        <f>tblSOW7[[#This Row],[FTE Cost]]*tblSOW7[[#This Row],[% work on project]]*AV5/tblSOW7[[#This Row],[Duration]]+tblSOW7[[#This Row],[Task Cost]]*BH5+tblSOW7[[#This Row],[External Expenses/Revenues USD]]*BT5/tblSOW7[[#This Row],[Duration]]</f>
        <v>0</v>
      </c>
      <c r="AK5" s="74">
        <f t="shared" si="1"/>
        <v>1</v>
      </c>
      <c r="AL5" s="74">
        <f t="shared" si="1"/>
        <v>1</v>
      </c>
      <c r="AM5" s="74">
        <f t="shared" si="1"/>
        <v>1</v>
      </c>
      <c r="AN5" s="74">
        <f t="shared" si="1"/>
        <v>0</v>
      </c>
      <c r="AO5" s="74">
        <f t="shared" si="1"/>
        <v>0</v>
      </c>
      <c r="AP5" s="74">
        <f t="shared" si="1"/>
        <v>0</v>
      </c>
      <c r="AQ5" s="74">
        <f t="shared" si="1"/>
        <v>0</v>
      </c>
      <c r="AR5" s="74">
        <f t="shared" si="1"/>
        <v>0</v>
      </c>
      <c r="AS5" s="74">
        <f t="shared" si="1"/>
        <v>0</v>
      </c>
      <c r="AT5" s="74">
        <f t="shared" si="1"/>
        <v>0</v>
      </c>
      <c r="AU5" s="74">
        <f t="shared" si="1"/>
        <v>0</v>
      </c>
      <c r="AV5" s="74">
        <f t="shared" si="1"/>
        <v>0</v>
      </c>
      <c r="AW5" s="74">
        <f t="shared" si="2"/>
        <v>5</v>
      </c>
      <c r="AX5" s="74">
        <f t="shared" si="2"/>
        <v>5</v>
      </c>
      <c r="AY5" s="74">
        <f t="shared" si="2"/>
        <v>5</v>
      </c>
      <c r="AZ5" s="74">
        <f t="shared" si="2"/>
        <v>0</v>
      </c>
      <c r="BA5" s="74">
        <f t="shared" si="2"/>
        <v>0</v>
      </c>
      <c r="BB5" s="74">
        <f t="shared" si="2"/>
        <v>0</v>
      </c>
      <c r="BC5" s="74">
        <f t="shared" si="2"/>
        <v>0</v>
      </c>
      <c r="BD5" s="74">
        <f t="shared" si="2"/>
        <v>0</v>
      </c>
      <c r="BE5" s="74">
        <f t="shared" si="2"/>
        <v>0</v>
      </c>
      <c r="BF5" s="74">
        <f t="shared" si="2"/>
        <v>0</v>
      </c>
      <c r="BG5" s="74">
        <f t="shared" si="2"/>
        <v>0</v>
      </c>
      <c r="BH5" s="74">
        <f t="shared" si="2"/>
        <v>0</v>
      </c>
      <c r="BI5" s="74">
        <f t="shared" si="3"/>
        <v>1</v>
      </c>
      <c r="BJ5" s="74">
        <f t="shared" si="3"/>
        <v>1</v>
      </c>
      <c r="BK5" s="74">
        <f t="shared" si="3"/>
        <v>1</v>
      </c>
      <c r="BL5" s="74">
        <f t="shared" si="3"/>
        <v>0</v>
      </c>
      <c r="BM5" s="74">
        <f t="shared" si="3"/>
        <v>0</v>
      </c>
      <c r="BN5" s="74">
        <f t="shared" si="3"/>
        <v>0</v>
      </c>
      <c r="BO5" s="74">
        <f t="shared" si="3"/>
        <v>0</v>
      </c>
      <c r="BP5" s="74">
        <f t="shared" si="3"/>
        <v>0</v>
      </c>
      <c r="BQ5" s="74">
        <f t="shared" si="3"/>
        <v>0</v>
      </c>
      <c r="BR5" s="74">
        <f t="shared" si="3"/>
        <v>0</v>
      </c>
      <c r="BS5" s="74">
        <f t="shared" si="3"/>
        <v>0</v>
      </c>
      <c r="BT5" s="74">
        <f t="shared" si="3"/>
        <v>0</v>
      </c>
      <c r="BU5" s="74">
        <f>SUM(tblSOW7[[#This Row],[P1]:[P12]])</f>
        <v>3</v>
      </c>
      <c r="BV5" s="74">
        <f xml:space="preserve"> IF(AND(ISNUMBER(SEARCH("-E000",tblSOW7[[#This Row],[Budget Item]])), ISERROR(VLOOKUP(tblSOW7[[#This Row],[Employee name ]],[29]Parameters!CP:DH,19,0))),VLOOKUP(tblSOW7[[#This Row],[Employee name ]],[29]Parameters!CP:DH,19,0),IFERROR(VLOOKUP(tblSOW7[[#This Row],[Employee name ]],[29]Parameters!CP:DH,19,0),0))</f>
        <v>0</v>
      </c>
      <c r="BW5" s="74">
        <f>IFERROR(VLOOKUP(K5,[29]Parameters!BN:BW,10,0),0)</f>
        <v>854.45565710605922</v>
      </c>
    </row>
    <row r="6" spans="1:154" s="75" customFormat="1">
      <c r="A6" s="67" t="str">
        <f>CONCATENATE(INDEX([29]Parameters!$U$1:$V$20,MATCH(C6,[29]Parameters!$V$1:$V$20,0),1),"/",VLOOKUP(D6,[29]Parameters!$CG$1:$CH$12,2,0),".",E6,".",H6,".",LEFT(J6,3),"-",LEFT(K6,4))</f>
        <v>B70/20.P255.405.950-T103</v>
      </c>
      <c r="B6" s="67" t="s">
        <v>123</v>
      </c>
      <c r="C6" s="67" t="s">
        <v>123</v>
      </c>
      <c r="D6" s="39" t="s">
        <v>95</v>
      </c>
      <c r="E6" s="40" t="str">
        <f>VLOOKUP(F6,[29]Parameters!P:T,4,0)</f>
        <v>P255</v>
      </c>
      <c r="F6" s="39" t="s">
        <v>126</v>
      </c>
      <c r="G6" s="67"/>
      <c r="H6" s="67">
        <f>INDEX([29]Parameters!$B:$C,MATCH(I6,[29]Parameters!$C:$C,0),1)</f>
        <v>405</v>
      </c>
      <c r="I6" s="68" t="s">
        <v>98</v>
      </c>
      <c r="J6" s="68" t="s">
        <v>94</v>
      </c>
      <c r="K6" s="68" t="s">
        <v>99</v>
      </c>
      <c r="L6" s="68" t="str">
        <f>IFERROR(VLOOKUP(tblSOW7[[#This Row],[Employee name ]],[29]Parameters!CP:CS,4,0),"")</f>
        <v/>
      </c>
      <c r="M6" s="69"/>
      <c r="N6" s="67" t="s">
        <v>130</v>
      </c>
      <c r="O6" s="76"/>
      <c r="P6" s="72">
        <v>44927</v>
      </c>
      <c r="Q6" s="72">
        <v>45016</v>
      </c>
      <c r="R6" s="67"/>
      <c r="S6" s="67">
        <f t="shared" si="0"/>
        <v>3</v>
      </c>
      <c r="T6" s="68"/>
      <c r="U6" s="68">
        <v>5</v>
      </c>
      <c r="V6" s="68"/>
      <c r="W6" s="68"/>
      <c r="X6" s="67">
        <f>SUM(tblSOW7[[#This Row],[Jan 2023 USD]:[Dec 2023 USD]])</f>
        <v>4272.2782855302958</v>
      </c>
      <c r="Y6" s="74">
        <f>tblSOW7[[#This Row],[FTE Cost]]*tblSOW7[[#This Row],[% work on project]]*AK6/tblSOW7[[#This Row],[Duration]]+tblSOW7[[#This Row],[Task Cost]]*AW6+tblSOW7[[#This Row],[External Expenses/Revenues USD]]*BI6/tblSOW7[[#This Row],[Duration]]</f>
        <v>1424.0927618434321</v>
      </c>
      <c r="Z6" s="74">
        <f>tblSOW7[[#This Row],[FTE Cost]]*tblSOW7[[#This Row],[% work on project]]*AL6/tblSOW7[[#This Row],[Duration]]+tblSOW7[[#This Row],[Task Cost]]*AX6+tblSOW7[[#This Row],[External Expenses/Revenues USD]]*BJ6/tblSOW7[[#This Row],[Duration]]</f>
        <v>1424.0927618434321</v>
      </c>
      <c r="AA6" s="74">
        <f>tblSOW7[[#This Row],[FTE Cost]]*tblSOW7[[#This Row],[% work on project]]*AM6/tblSOW7[[#This Row],[Duration]]+tblSOW7[[#This Row],[Task Cost]]*AY6+tblSOW7[[#This Row],[External Expenses/Revenues USD]]*BK6/tblSOW7[[#This Row],[Duration]]</f>
        <v>1424.0927618434321</v>
      </c>
      <c r="AB6" s="74">
        <f>tblSOW7[[#This Row],[FTE Cost]]*tblSOW7[[#This Row],[% work on project]]*AN6/tblSOW7[[#This Row],[Duration]]+tblSOW7[[#This Row],[Task Cost]]*AZ6+tblSOW7[[#This Row],[External Expenses/Revenues USD]]*BL6/tblSOW7[[#This Row],[Duration]]</f>
        <v>0</v>
      </c>
      <c r="AC6" s="74">
        <f>tblSOW7[[#This Row],[FTE Cost]]*tblSOW7[[#This Row],[% work on project]]*AO6/tblSOW7[[#This Row],[Duration]]+tblSOW7[[#This Row],[Task Cost]]*BA6+tblSOW7[[#This Row],[External Expenses/Revenues USD]]*BM6/tblSOW7[[#This Row],[Duration]]</f>
        <v>0</v>
      </c>
      <c r="AD6" s="74">
        <f>tblSOW7[[#This Row],[FTE Cost]]*tblSOW7[[#This Row],[% work on project]]*AP6/tblSOW7[[#This Row],[Duration]]+tblSOW7[[#This Row],[Task Cost]]*BB6+tblSOW7[[#This Row],[External Expenses/Revenues USD]]*BN6/tblSOW7[[#This Row],[Duration]]</f>
        <v>0</v>
      </c>
      <c r="AE6" s="74">
        <f>tblSOW7[[#This Row],[FTE Cost]]*tblSOW7[[#This Row],[% work on project]]*AQ6/tblSOW7[[#This Row],[Duration]]+tblSOW7[[#This Row],[Task Cost]]*BC6+tblSOW7[[#This Row],[External Expenses/Revenues USD]]*BO6/tblSOW7[[#This Row],[Duration]]</f>
        <v>0</v>
      </c>
      <c r="AF6" s="74">
        <f>tblSOW7[[#This Row],[FTE Cost]]*tblSOW7[[#This Row],[% work on project]]*AR6/tblSOW7[[#This Row],[Duration]]+tblSOW7[[#This Row],[Task Cost]]*BD6+tblSOW7[[#This Row],[External Expenses/Revenues USD]]*BP6/tblSOW7[[#This Row],[Duration]]</f>
        <v>0</v>
      </c>
      <c r="AG6" s="74">
        <f>tblSOW7[[#This Row],[FTE Cost]]*tblSOW7[[#This Row],[% work on project]]*AS6/tblSOW7[[#This Row],[Duration]]+tblSOW7[[#This Row],[Task Cost]]*BE6+tblSOW7[[#This Row],[External Expenses/Revenues USD]]*BQ6/tblSOW7[[#This Row],[Duration]]</f>
        <v>0</v>
      </c>
      <c r="AH6" s="74">
        <f>tblSOW7[[#This Row],[FTE Cost]]*tblSOW7[[#This Row],[% work on project]]*AT6/tblSOW7[[#This Row],[Duration]]+tblSOW7[[#This Row],[Task Cost]]*BF6+tblSOW7[[#This Row],[External Expenses/Revenues USD]]*BR6/tblSOW7[[#This Row],[Duration]]</f>
        <v>0</v>
      </c>
      <c r="AI6" s="74">
        <f>tblSOW7[[#This Row],[FTE Cost]]*tblSOW7[[#This Row],[% work on project]]*AU6/tblSOW7[[#This Row],[Duration]]+tblSOW7[[#This Row],[Task Cost]]*BG6+tblSOW7[[#This Row],[External Expenses/Revenues USD]]*BS6/tblSOW7[[#This Row],[Duration]]</f>
        <v>0</v>
      </c>
      <c r="AJ6" s="74">
        <f>tblSOW7[[#This Row],[FTE Cost]]*tblSOW7[[#This Row],[% work on project]]*AV6/tblSOW7[[#This Row],[Duration]]+tblSOW7[[#This Row],[Task Cost]]*BH6+tblSOW7[[#This Row],[External Expenses/Revenues USD]]*BT6/tblSOW7[[#This Row],[Duration]]</f>
        <v>0</v>
      </c>
      <c r="AK6" s="74">
        <f t="shared" si="1"/>
        <v>1</v>
      </c>
      <c r="AL6" s="74">
        <f t="shared" si="1"/>
        <v>1</v>
      </c>
      <c r="AM6" s="74">
        <f t="shared" si="1"/>
        <v>1</v>
      </c>
      <c r="AN6" s="74">
        <f t="shared" si="1"/>
        <v>0</v>
      </c>
      <c r="AO6" s="74">
        <f t="shared" si="1"/>
        <v>0</v>
      </c>
      <c r="AP6" s="74">
        <f t="shared" si="1"/>
        <v>0</v>
      </c>
      <c r="AQ6" s="74">
        <f t="shared" si="1"/>
        <v>0</v>
      </c>
      <c r="AR6" s="74">
        <f t="shared" si="1"/>
        <v>0</v>
      </c>
      <c r="AS6" s="74">
        <f t="shared" si="1"/>
        <v>0</v>
      </c>
      <c r="AT6" s="74">
        <f t="shared" si="1"/>
        <v>0</v>
      </c>
      <c r="AU6" s="74">
        <f t="shared" si="1"/>
        <v>0</v>
      </c>
      <c r="AV6" s="74">
        <f t="shared" si="1"/>
        <v>0</v>
      </c>
      <c r="AW6" s="74">
        <f t="shared" si="2"/>
        <v>1.6666666666666667</v>
      </c>
      <c r="AX6" s="74">
        <f t="shared" si="2"/>
        <v>1.6666666666666667</v>
      </c>
      <c r="AY6" s="74">
        <f t="shared" si="2"/>
        <v>1.6666666666666667</v>
      </c>
      <c r="AZ6" s="74">
        <f t="shared" si="2"/>
        <v>0</v>
      </c>
      <c r="BA6" s="74">
        <f t="shared" si="2"/>
        <v>0</v>
      </c>
      <c r="BB6" s="74">
        <f t="shared" si="2"/>
        <v>0</v>
      </c>
      <c r="BC6" s="74">
        <f t="shared" si="2"/>
        <v>0</v>
      </c>
      <c r="BD6" s="74">
        <f t="shared" si="2"/>
        <v>0</v>
      </c>
      <c r="BE6" s="74">
        <f t="shared" si="2"/>
        <v>0</v>
      </c>
      <c r="BF6" s="74">
        <f t="shared" si="2"/>
        <v>0</v>
      </c>
      <c r="BG6" s="74">
        <f t="shared" si="2"/>
        <v>0</v>
      </c>
      <c r="BH6" s="74">
        <f t="shared" si="2"/>
        <v>0</v>
      </c>
      <c r="BI6" s="74">
        <f t="shared" si="3"/>
        <v>1</v>
      </c>
      <c r="BJ6" s="74">
        <f t="shared" si="3"/>
        <v>1</v>
      </c>
      <c r="BK6" s="74">
        <f t="shared" si="3"/>
        <v>1</v>
      </c>
      <c r="BL6" s="74">
        <f t="shared" si="3"/>
        <v>0</v>
      </c>
      <c r="BM6" s="74">
        <f t="shared" si="3"/>
        <v>0</v>
      </c>
      <c r="BN6" s="74">
        <f t="shared" si="3"/>
        <v>0</v>
      </c>
      <c r="BO6" s="74">
        <f t="shared" si="3"/>
        <v>0</v>
      </c>
      <c r="BP6" s="74">
        <f t="shared" si="3"/>
        <v>0</v>
      </c>
      <c r="BQ6" s="74">
        <f t="shared" si="3"/>
        <v>0</v>
      </c>
      <c r="BR6" s="74">
        <f t="shared" si="3"/>
        <v>0</v>
      </c>
      <c r="BS6" s="74">
        <f t="shared" si="3"/>
        <v>0</v>
      </c>
      <c r="BT6" s="74">
        <f t="shared" si="3"/>
        <v>0</v>
      </c>
      <c r="BU6" s="74">
        <f>SUM(tblSOW7[[#This Row],[P1]:[P12]])</f>
        <v>3</v>
      </c>
      <c r="BV6" s="74">
        <f xml:space="preserve"> IF(AND(ISNUMBER(SEARCH("-E000",tblSOW7[[#This Row],[Budget Item]])), ISERROR(VLOOKUP(tblSOW7[[#This Row],[Employee name ]],[29]Parameters!CP:DH,19,0))),VLOOKUP(tblSOW7[[#This Row],[Employee name ]],[29]Parameters!CP:DH,19,0),IFERROR(VLOOKUP(tblSOW7[[#This Row],[Employee name ]],[29]Parameters!CP:DH,19,0),0))</f>
        <v>0</v>
      </c>
      <c r="BW6" s="74">
        <f>IFERROR(VLOOKUP(K6,[29]Parameters!BN:BW,10,0),0)</f>
        <v>854.45565710605922</v>
      </c>
    </row>
    <row r="7" spans="1:154" s="75" customFormat="1">
      <c r="A7" s="67" t="str">
        <f>CONCATENATE(INDEX([29]Parameters!$U$1:$V$20,MATCH(C7,[29]Parameters!$V$1:$V$20,0),1),"/",VLOOKUP(D7,[29]Parameters!$CG$1:$CH$12,2,0),".",E7,".",H7,".",LEFT(J7,3),"-",LEFT(K7,4))</f>
        <v>B70/20.P255.427.950-T109</v>
      </c>
      <c r="B7" s="67" t="s">
        <v>123</v>
      </c>
      <c r="C7" s="67" t="s">
        <v>123</v>
      </c>
      <c r="D7" s="39" t="s">
        <v>95</v>
      </c>
      <c r="E7" s="40" t="str">
        <f>VLOOKUP(F7,[29]Parameters!P:T,4,0)</f>
        <v>P255</v>
      </c>
      <c r="F7" s="39" t="s">
        <v>126</v>
      </c>
      <c r="G7" s="67"/>
      <c r="H7" s="67">
        <f>INDEX([29]Parameters!$B:$C,MATCH(I7,[29]Parameters!$C:$C,0),1)</f>
        <v>427</v>
      </c>
      <c r="I7" s="68" t="s">
        <v>104</v>
      </c>
      <c r="J7" s="68" t="s">
        <v>94</v>
      </c>
      <c r="K7" s="68" t="s">
        <v>105</v>
      </c>
      <c r="L7" s="68" t="str">
        <f>IFERROR(VLOOKUP(tblSOW7[[#This Row],[Employee name ]],[29]Parameters!CP:CS,4,0),"")</f>
        <v/>
      </c>
      <c r="M7" s="69"/>
      <c r="N7" s="67" t="s">
        <v>131</v>
      </c>
      <c r="O7" s="76"/>
      <c r="P7" s="72">
        <v>44927</v>
      </c>
      <c r="Q7" s="72">
        <v>45016</v>
      </c>
      <c r="R7" s="67"/>
      <c r="S7" s="67">
        <f t="shared" si="0"/>
        <v>3</v>
      </c>
      <c r="T7" s="68"/>
      <c r="U7" s="68">
        <v>2</v>
      </c>
      <c r="V7" s="68"/>
      <c r="W7" s="68"/>
      <c r="X7" s="67">
        <f>SUM(tblSOW7[[#This Row],[Jan 2023 USD]:[Dec 2023 USD]])</f>
        <v>1654.8864134118219</v>
      </c>
      <c r="Y7" s="74">
        <f>tblSOW7[[#This Row],[FTE Cost]]*tblSOW7[[#This Row],[% work on project]]*AK7/tblSOW7[[#This Row],[Duration]]+tblSOW7[[#This Row],[Task Cost]]*AW7+tblSOW7[[#This Row],[External Expenses/Revenues USD]]*BI7/tblSOW7[[#This Row],[Duration]]</f>
        <v>551.62880447060729</v>
      </c>
      <c r="Z7" s="74">
        <f>tblSOW7[[#This Row],[FTE Cost]]*tblSOW7[[#This Row],[% work on project]]*AL7/tblSOW7[[#This Row],[Duration]]+tblSOW7[[#This Row],[Task Cost]]*AX7+tblSOW7[[#This Row],[External Expenses/Revenues USD]]*BJ7/tblSOW7[[#This Row],[Duration]]</f>
        <v>551.62880447060729</v>
      </c>
      <c r="AA7" s="74">
        <f>tblSOW7[[#This Row],[FTE Cost]]*tblSOW7[[#This Row],[% work on project]]*AM7/tblSOW7[[#This Row],[Duration]]+tblSOW7[[#This Row],[Task Cost]]*AY7+tblSOW7[[#This Row],[External Expenses/Revenues USD]]*BK7/tblSOW7[[#This Row],[Duration]]</f>
        <v>551.62880447060729</v>
      </c>
      <c r="AB7" s="74">
        <f>tblSOW7[[#This Row],[FTE Cost]]*tblSOW7[[#This Row],[% work on project]]*AN7/tblSOW7[[#This Row],[Duration]]+tblSOW7[[#This Row],[Task Cost]]*AZ7+tblSOW7[[#This Row],[External Expenses/Revenues USD]]*BL7/tblSOW7[[#This Row],[Duration]]</f>
        <v>0</v>
      </c>
      <c r="AC7" s="74">
        <f>tblSOW7[[#This Row],[FTE Cost]]*tblSOW7[[#This Row],[% work on project]]*AO7/tblSOW7[[#This Row],[Duration]]+tblSOW7[[#This Row],[Task Cost]]*BA7+tblSOW7[[#This Row],[External Expenses/Revenues USD]]*BM7/tblSOW7[[#This Row],[Duration]]</f>
        <v>0</v>
      </c>
      <c r="AD7" s="74">
        <f>tblSOW7[[#This Row],[FTE Cost]]*tblSOW7[[#This Row],[% work on project]]*AP7/tblSOW7[[#This Row],[Duration]]+tblSOW7[[#This Row],[Task Cost]]*BB7+tblSOW7[[#This Row],[External Expenses/Revenues USD]]*BN7/tblSOW7[[#This Row],[Duration]]</f>
        <v>0</v>
      </c>
      <c r="AE7" s="74">
        <f>tblSOW7[[#This Row],[FTE Cost]]*tblSOW7[[#This Row],[% work on project]]*AQ7/tblSOW7[[#This Row],[Duration]]+tblSOW7[[#This Row],[Task Cost]]*BC7+tblSOW7[[#This Row],[External Expenses/Revenues USD]]*BO7/tblSOW7[[#This Row],[Duration]]</f>
        <v>0</v>
      </c>
      <c r="AF7" s="74">
        <f>tblSOW7[[#This Row],[FTE Cost]]*tblSOW7[[#This Row],[% work on project]]*AR7/tblSOW7[[#This Row],[Duration]]+tblSOW7[[#This Row],[Task Cost]]*BD7+tblSOW7[[#This Row],[External Expenses/Revenues USD]]*BP7/tblSOW7[[#This Row],[Duration]]</f>
        <v>0</v>
      </c>
      <c r="AG7" s="74">
        <f>tblSOW7[[#This Row],[FTE Cost]]*tblSOW7[[#This Row],[% work on project]]*AS7/tblSOW7[[#This Row],[Duration]]+tblSOW7[[#This Row],[Task Cost]]*BE7+tblSOW7[[#This Row],[External Expenses/Revenues USD]]*BQ7/tblSOW7[[#This Row],[Duration]]</f>
        <v>0</v>
      </c>
      <c r="AH7" s="74">
        <f>tblSOW7[[#This Row],[FTE Cost]]*tblSOW7[[#This Row],[% work on project]]*AT7/tblSOW7[[#This Row],[Duration]]+tblSOW7[[#This Row],[Task Cost]]*BF7+tblSOW7[[#This Row],[External Expenses/Revenues USD]]*BR7/tblSOW7[[#This Row],[Duration]]</f>
        <v>0</v>
      </c>
      <c r="AI7" s="74">
        <f>tblSOW7[[#This Row],[FTE Cost]]*tblSOW7[[#This Row],[% work on project]]*AU7/tblSOW7[[#This Row],[Duration]]+tblSOW7[[#This Row],[Task Cost]]*BG7+tblSOW7[[#This Row],[External Expenses/Revenues USD]]*BS7/tblSOW7[[#This Row],[Duration]]</f>
        <v>0</v>
      </c>
      <c r="AJ7" s="74">
        <f>tblSOW7[[#This Row],[FTE Cost]]*tblSOW7[[#This Row],[% work on project]]*AV7/tblSOW7[[#This Row],[Duration]]+tblSOW7[[#This Row],[Task Cost]]*BH7+tblSOW7[[#This Row],[External Expenses/Revenues USD]]*BT7/tblSOW7[[#This Row],[Duration]]</f>
        <v>0</v>
      </c>
      <c r="AK7" s="74">
        <f t="shared" si="1"/>
        <v>1</v>
      </c>
      <c r="AL7" s="74">
        <f t="shared" si="1"/>
        <v>1</v>
      </c>
      <c r="AM7" s="74">
        <f t="shared" si="1"/>
        <v>1</v>
      </c>
      <c r="AN7" s="74">
        <f t="shared" si="1"/>
        <v>0</v>
      </c>
      <c r="AO7" s="74">
        <f t="shared" si="1"/>
        <v>0</v>
      </c>
      <c r="AP7" s="74">
        <f t="shared" si="1"/>
        <v>0</v>
      </c>
      <c r="AQ7" s="74">
        <f t="shared" si="1"/>
        <v>0</v>
      </c>
      <c r="AR7" s="74">
        <f t="shared" si="1"/>
        <v>0</v>
      </c>
      <c r="AS7" s="74">
        <f t="shared" si="1"/>
        <v>0</v>
      </c>
      <c r="AT7" s="74">
        <f t="shared" si="1"/>
        <v>0</v>
      </c>
      <c r="AU7" s="74">
        <f t="shared" si="1"/>
        <v>0</v>
      </c>
      <c r="AV7" s="74">
        <f t="shared" si="1"/>
        <v>0</v>
      </c>
      <c r="AW7" s="74">
        <f t="shared" si="2"/>
        <v>0.66666666666666663</v>
      </c>
      <c r="AX7" s="74">
        <f t="shared" si="2"/>
        <v>0.66666666666666663</v>
      </c>
      <c r="AY7" s="74">
        <f t="shared" si="2"/>
        <v>0.66666666666666663</v>
      </c>
      <c r="AZ7" s="74">
        <f t="shared" si="2"/>
        <v>0</v>
      </c>
      <c r="BA7" s="74">
        <f t="shared" si="2"/>
        <v>0</v>
      </c>
      <c r="BB7" s="74">
        <f t="shared" si="2"/>
        <v>0</v>
      </c>
      <c r="BC7" s="74">
        <f t="shared" si="2"/>
        <v>0</v>
      </c>
      <c r="BD7" s="74">
        <f t="shared" si="2"/>
        <v>0</v>
      </c>
      <c r="BE7" s="74">
        <f t="shared" si="2"/>
        <v>0</v>
      </c>
      <c r="BF7" s="74">
        <f t="shared" si="2"/>
        <v>0</v>
      </c>
      <c r="BG7" s="74">
        <f t="shared" si="2"/>
        <v>0</v>
      </c>
      <c r="BH7" s="74">
        <f t="shared" si="2"/>
        <v>0</v>
      </c>
      <c r="BI7" s="74">
        <f t="shared" si="3"/>
        <v>1</v>
      </c>
      <c r="BJ7" s="74">
        <f t="shared" si="3"/>
        <v>1</v>
      </c>
      <c r="BK7" s="74">
        <f t="shared" si="3"/>
        <v>1</v>
      </c>
      <c r="BL7" s="74">
        <f t="shared" si="3"/>
        <v>0</v>
      </c>
      <c r="BM7" s="74">
        <f t="shared" si="3"/>
        <v>0</v>
      </c>
      <c r="BN7" s="74">
        <f t="shared" si="3"/>
        <v>0</v>
      </c>
      <c r="BO7" s="74">
        <f t="shared" si="3"/>
        <v>0</v>
      </c>
      <c r="BP7" s="74">
        <f t="shared" si="3"/>
        <v>0</v>
      </c>
      <c r="BQ7" s="74">
        <f t="shared" si="3"/>
        <v>0</v>
      </c>
      <c r="BR7" s="74">
        <f t="shared" si="3"/>
        <v>0</v>
      </c>
      <c r="BS7" s="74">
        <f t="shared" si="3"/>
        <v>0</v>
      </c>
      <c r="BT7" s="74">
        <f t="shared" si="3"/>
        <v>0</v>
      </c>
      <c r="BU7" s="74">
        <f>SUM(tblSOW7[[#This Row],[P1]:[P12]])</f>
        <v>3</v>
      </c>
      <c r="BV7" s="74">
        <f xml:space="preserve"> IF(AND(ISNUMBER(SEARCH("-E000",tblSOW7[[#This Row],[Budget Item]])), ISERROR(VLOOKUP(tblSOW7[[#This Row],[Employee name ]],[29]Parameters!CP:DH,19,0))),VLOOKUP(tblSOW7[[#This Row],[Employee name ]],[29]Parameters!CP:DH,19,0),IFERROR(VLOOKUP(tblSOW7[[#This Row],[Employee name ]],[29]Parameters!CP:DH,19,0),0))</f>
        <v>0</v>
      </c>
      <c r="BW7" s="74">
        <f>IFERROR(VLOOKUP(K7,[29]Parameters!BN:BW,10,0),0)</f>
        <v>827.44320670591105</v>
      </c>
    </row>
    <row r="8" spans="1:154" s="75" customFormat="1">
      <c r="A8" s="67" t="str">
        <f>CONCATENATE(INDEX([29]Parameters!$U$1:$V$20,MATCH(C8,[29]Parameters!$V$1:$V$20,0),1),"/",VLOOKUP(D8,[29]Parameters!$CG$1:$CH$12,2,0),".",E8,".",H8,".",LEFT(J8,3),"-",LEFT(K8,4))</f>
        <v>B70/20.P999.405.950-T103</v>
      </c>
      <c r="B8" s="67" t="s">
        <v>123</v>
      </c>
      <c r="C8" s="67" t="s">
        <v>123</v>
      </c>
      <c r="D8" s="39" t="s">
        <v>95</v>
      </c>
      <c r="E8" s="40" t="str">
        <f>VLOOKUP(F8,[29]Parameters!P:T,4,0)</f>
        <v>P999</v>
      </c>
      <c r="F8" s="39" t="s">
        <v>92</v>
      </c>
      <c r="G8" s="67"/>
      <c r="H8" s="67">
        <f>INDEX([29]Parameters!$B:$C,MATCH(I8,[29]Parameters!$C:$C,0),1)</f>
        <v>405</v>
      </c>
      <c r="I8" s="68" t="s">
        <v>98</v>
      </c>
      <c r="J8" s="68" t="s">
        <v>94</v>
      </c>
      <c r="K8" s="68" t="s">
        <v>99</v>
      </c>
      <c r="L8" s="68" t="str">
        <f>IFERROR(VLOOKUP(tblSOW7[[#This Row],[Employee name ]],[29]Parameters!CP:CS,4,0),"")</f>
        <v/>
      </c>
      <c r="M8" s="69"/>
      <c r="N8" s="67" t="s">
        <v>132</v>
      </c>
      <c r="O8" s="76"/>
      <c r="P8" s="72">
        <v>44986</v>
      </c>
      <c r="Q8" s="72">
        <v>45077</v>
      </c>
      <c r="R8" s="67"/>
      <c r="S8" s="67">
        <f t="shared" si="0"/>
        <v>3</v>
      </c>
      <c r="T8" s="68"/>
      <c r="U8" s="68">
        <v>7</v>
      </c>
      <c r="V8" s="68"/>
      <c r="W8" s="68"/>
      <c r="X8" s="67">
        <f>SUM(tblSOW7[[#This Row],[Jan 2023 USD]:[Dec 2023 USD]])</f>
        <v>5981.1895997424153</v>
      </c>
      <c r="Y8" s="74">
        <f>tblSOW7[[#This Row],[FTE Cost]]*tblSOW7[[#This Row],[% work on project]]*AK8/tblSOW7[[#This Row],[Duration]]+tblSOW7[[#This Row],[Task Cost]]*AW8+tblSOW7[[#This Row],[External Expenses/Revenues USD]]*BI8/tblSOW7[[#This Row],[Duration]]</f>
        <v>0</v>
      </c>
      <c r="Z8" s="74">
        <f>tblSOW7[[#This Row],[FTE Cost]]*tblSOW7[[#This Row],[% work on project]]*AL8/tblSOW7[[#This Row],[Duration]]+tblSOW7[[#This Row],[Task Cost]]*AX8+tblSOW7[[#This Row],[External Expenses/Revenues USD]]*BJ8/tblSOW7[[#This Row],[Duration]]</f>
        <v>0</v>
      </c>
      <c r="AA8" s="74">
        <f>tblSOW7[[#This Row],[FTE Cost]]*tblSOW7[[#This Row],[% work on project]]*AM8/tblSOW7[[#This Row],[Duration]]+tblSOW7[[#This Row],[Task Cost]]*AY8+tblSOW7[[#This Row],[External Expenses/Revenues USD]]*BK8/tblSOW7[[#This Row],[Duration]]</f>
        <v>1993.729866580805</v>
      </c>
      <c r="AB8" s="74">
        <f>tblSOW7[[#This Row],[FTE Cost]]*tblSOW7[[#This Row],[% work on project]]*AN8/tblSOW7[[#This Row],[Duration]]+tblSOW7[[#This Row],[Task Cost]]*AZ8+tblSOW7[[#This Row],[External Expenses/Revenues USD]]*BL8/tblSOW7[[#This Row],[Duration]]</f>
        <v>1993.729866580805</v>
      </c>
      <c r="AC8" s="74">
        <f>tblSOW7[[#This Row],[FTE Cost]]*tblSOW7[[#This Row],[% work on project]]*AO8/tblSOW7[[#This Row],[Duration]]+tblSOW7[[#This Row],[Task Cost]]*BA8+tblSOW7[[#This Row],[External Expenses/Revenues USD]]*BM8/tblSOW7[[#This Row],[Duration]]</f>
        <v>1993.729866580805</v>
      </c>
      <c r="AD8" s="74">
        <f>tblSOW7[[#This Row],[FTE Cost]]*tblSOW7[[#This Row],[% work on project]]*AP8/tblSOW7[[#This Row],[Duration]]+tblSOW7[[#This Row],[Task Cost]]*BB8+tblSOW7[[#This Row],[External Expenses/Revenues USD]]*BN8/tblSOW7[[#This Row],[Duration]]</f>
        <v>0</v>
      </c>
      <c r="AE8" s="74">
        <f>tblSOW7[[#This Row],[FTE Cost]]*tblSOW7[[#This Row],[% work on project]]*AQ8/tblSOW7[[#This Row],[Duration]]+tblSOW7[[#This Row],[Task Cost]]*BC8+tblSOW7[[#This Row],[External Expenses/Revenues USD]]*BO8/tblSOW7[[#This Row],[Duration]]</f>
        <v>0</v>
      </c>
      <c r="AF8" s="74">
        <f>tblSOW7[[#This Row],[FTE Cost]]*tblSOW7[[#This Row],[% work on project]]*AR8/tblSOW7[[#This Row],[Duration]]+tblSOW7[[#This Row],[Task Cost]]*BD8+tblSOW7[[#This Row],[External Expenses/Revenues USD]]*BP8/tblSOW7[[#This Row],[Duration]]</f>
        <v>0</v>
      </c>
      <c r="AG8" s="74">
        <f>tblSOW7[[#This Row],[FTE Cost]]*tblSOW7[[#This Row],[% work on project]]*AS8/tblSOW7[[#This Row],[Duration]]+tblSOW7[[#This Row],[Task Cost]]*BE8+tblSOW7[[#This Row],[External Expenses/Revenues USD]]*BQ8/tblSOW7[[#This Row],[Duration]]</f>
        <v>0</v>
      </c>
      <c r="AH8" s="74">
        <f>tblSOW7[[#This Row],[FTE Cost]]*tblSOW7[[#This Row],[% work on project]]*AT8/tblSOW7[[#This Row],[Duration]]+tblSOW7[[#This Row],[Task Cost]]*BF8+tblSOW7[[#This Row],[External Expenses/Revenues USD]]*BR8/tblSOW7[[#This Row],[Duration]]</f>
        <v>0</v>
      </c>
      <c r="AI8" s="74">
        <f>tblSOW7[[#This Row],[FTE Cost]]*tblSOW7[[#This Row],[% work on project]]*AU8/tblSOW7[[#This Row],[Duration]]+tblSOW7[[#This Row],[Task Cost]]*BG8+tblSOW7[[#This Row],[External Expenses/Revenues USD]]*BS8/tblSOW7[[#This Row],[Duration]]</f>
        <v>0</v>
      </c>
      <c r="AJ8" s="74">
        <f>tblSOW7[[#This Row],[FTE Cost]]*tblSOW7[[#This Row],[% work on project]]*AV8/tblSOW7[[#This Row],[Duration]]+tblSOW7[[#This Row],[Task Cost]]*BH8+tblSOW7[[#This Row],[External Expenses/Revenues USD]]*BT8/tblSOW7[[#This Row],[Duration]]</f>
        <v>0</v>
      </c>
      <c r="AK8" s="74">
        <f t="shared" si="1"/>
        <v>0</v>
      </c>
      <c r="AL8" s="74">
        <f t="shared" si="1"/>
        <v>0</v>
      </c>
      <c r="AM8" s="74">
        <f t="shared" si="1"/>
        <v>1</v>
      </c>
      <c r="AN8" s="74">
        <f t="shared" si="1"/>
        <v>1</v>
      </c>
      <c r="AO8" s="74">
        <f t="shared" si="1"/>
        <v>1</v>
      </c>
      <c r="AP8" s="74">
        <f t="shared" si="1"/>
        <v>0</v>
      </c>
      <c r="AQ8" s="74">
        <f t="shared" si="1"/>
        <v>0</v>
      </c>
      <c r="AR8" s="74">
        <f t="shared" si="1"/>
        <v>0</v>
      </c>
      <c r="AS8" s="74">
        <f t="shared" si="1"/>
        <v>0</v>
      </c>
      <c r="AT8" s="74">
        <f t="shared" si="1"/>
        <v>0</v>
      </c>
      <c r="AU8" s="74">
        <f t="shared" si="1"/>
        <v>0</v>
      </c>
      <c r="AV8" s="74">
        <f t="shared" si="1"/>
        <v>0</v>
      </c>
      <c r="AW8" s="74">
        <f t="shared" si="2"/>
        <v>0</v>
      </c>
      <c r="AX8" s="74">
        <f t="shared" si="2"/>
        <v>0</v>
      </c>
      <c r="AY8" s="74">
        <f t="shared" si="2"/>
        <v>2.3333333333333335</v>
      </c>
      <c r="AZ8" s="74">
        <f t="shared" si="2"/>
        <v>2.3333333333333335</v>
      </c>
      <c r="BA8" s="74">
        <f t="shared" si="2"/>
        <v>2.3333333333333335</v>
      </c>
      <c r="BB8" s="74">
        <f t="shared" si="2"/>
        <v>0</v>
      </c>
      <c r="BC8" s="74">
        <f t="shared" si="2"/>
        <v>0</v>
      </c>
      <c r="BD8" s="74">
        <f t="shared" si="2"/>
        <v>0</v>
      </c>
      <c r="BE8" s="74">
        <f t="shared" si="2"/>
        <v>0</v>
      </c>
      <c r="BF8" s="74">
        <f t="shared" si="2"/>
        <v>0</v>
      </c>
      <c r="BG8" s="74">
        <f t="shared" si="2"/>
        <v>0</v>
      </c>
      <c r="BH8" s="74">
        <f t="shared" si="2"/>
        <v>0</v>
      </c>
      <c r="BI8" s="74">
        <f t="shared" si="3"/>
        <v>0</v>
      </c>
      <c r="BJ8" s="74">
        <f t="shared" si="3"/>
        <v>0</v>
      </c>
      <c r="BK8" s="74">
        <f t="shared" si="3"/>
        <v>1</v>
      </c>
      <c r="BL8" s="74">
        <f t="shared" si="3"/>
        <v>1</v>
      </c>
      <c r="BM8" s="74">
        <f t="shared" si="3"/>
        <v>1</v>
      </c>
      <c r="BN8" s="74">
        <f t="shared" si="3"/>
        <v>0</v>
      </c>
      <c r="BO8" s="74">
        <f t="shared" si="3"/>
        <v>0</v>
      </c>
      <c r="BP8" s="74">
        <f t="shared" si="3"/>
        <v>0</v>
      </c>
      <c r="BQ8" s="74">
        <f t="shared" si="3"/>
        <v>0</v>
      </c>
      <c r="BR8" s="74">
        <f t="shared" si="3"/>
        <v>0</v>
      </c>
      <c r="BS8" s="74">
        <f t="shared" si="3"/>
        <v>0</v>
      </c>
      <c r="BT8" s="74">
        <f t="shared" si="3"/>
        <v>0</v>
      </c>
      <c r="BU8" s="74">
        <f>SUM(tblSOW7[[#This Row],[P1]:[P12]])</f>
        <v>3</v>
      </c>
      <c r="BV8" s="74">
        <f xml:space="preserve"> IF(AND(ISNUMBER(SEARCH("-E000",tblSOW7[[#This Row],[Budget Item]])), ISERROR(VLOOKUP(tblSOW7[[#This Row],[Employee name ]],[29]Parameters!CP:DH,19,0))),VLOOKUP(tblSOW7[[#This Row],[Employee name ]],[29]Parameters!CP:DH,19,0),IFERROR(VLOOKUP(tblSOW7[[#This Row],[Employee name ]],[29]Parameters!CP:DH,19,0),0))</f>
        <v>0</v>
      </c>
      <c r="BW8" s="74">
        <f>IFERROR(VLOOKUP(K8,[29]Parameters!BN:BW,10,0),0)</f>
        <v>854.45565710605922</v>
      </c>
    </row>
    <row r="9" spans="1:154" s="75" customFormat="1">
      <c r="A9" s="67" t="str">
        <f>CONCATENATE(INDEX([29]Parameters!$U$1:$V$20,MATCH(C9,[29]Parameters!$V$1:$V$20,0),1),"/",VLOOKUP(D9,[29]Parameters!$CG$1:$CH$12,2,0),".",E9,".",H9,".",LEFT(J9,3),"-",LEFT(K9,4))</f>
        <v>B70/20.P999.405.950-T103</v>
      </c>
      <c r="B9" s="67" t="s">
        <v>123</v>
      </c>
      <c r="C9" s="67" t="s">
        <v>123</v>
      </c>
      <c r="D9" s="39" t="s">
        <v>95</v>
      </c>
      <c r="E9" s="40" t="str">
        <f>VLOOKUP(F9,[29]Parameters!P:T,4,0)</f>
        <v>P999</v>
      </c>
      <c r="F9" s="39" t="s">
        <v>92</v>
      </c>
      <c r="G9" s="67"/>
      <c r="H9" s="67">
        <f>INDEX([29]Parameters!$B:$C,MATCH(I9,[29]Parameters!$C:$C,0),1)</f>
        <v>405</v>
      </c>
      <c r="I9" s="68" t="s">
        <v>98</v>
      </c>
      <c r="J9" s="68" t="s">
        <v>94</v>
      </c>
      <c r="K9" s="68" t="s">
        <v>99</v>
      </c>
      <c r="L9" s="68" t="str">
        <f>IFERROR(VLOOKUP(tblSOW7[[#This Row],[Employee name ]],[29]Parameters!CP:CS,4,0),"")</f>
        <v/>
      </c>
      <c r="M9" s="69"/>
      <c r="N9" s="67" t="s">
        <v>133</v>
      </c>
      <c r="O9" s="76"/>
      <c r="P9" s="72">
        <v>44986</v>
      </c>
      <c r="Q9" s="72">
        <v>45077</v>
      </c>
      <c r="R9" s="67"/>
      <c r="S9" s="67">
        <f t="shared" si="0"/>
        <v>3</v>
      </c>
      <c r="T9" s="68"/>
      <c r="U9" s="68">
        <v>10</v>
      </c>
      <c r="V9" s="68"/>
      <c r="W9" s="68"/>
      <c r="X9" s="67">
        <f>SUM(tblSOW7[[#This Row],[Jan 2023 USD]:[Dec 2023 USD]])</f>
        <v>8544.5565710605915</v>
      </c>
      <c r="Y9" s="74">
        <f>tblSOW7[[#This Row],[FTE Cost]]*tblSOW7[[#This Row],[% work on project]]*AK9/tblSOW7[[#This Row],[Duration]]+tblSOW7[[#This Row],[Task Cost]]*AW9+tblSOW7[[#This Row],[External Expenses/Revenues USD]]*BI9/tblSOW7[[#This Row],[Duration]]</f>
        <v>0</v>
      </c>
      <c r="Z9" s="74">
        <f>tblSOW7[[#This Row],[FTE Cost]]*tblSOW7[[#This Row],[% work on project]]*AL9/tblSOW7[[#This Row],[Duration]]+tblSOW7[[#This Row],[Task Cost]]*AX9+tblSOW7[[#This Row],[External Expenses/Revenues USD]]*BJ9/tblSOW7[[#This Row],[Duration]]</f>
        <v>0</v>
      </c>
      <c r="AA9" s="74">
        <f>tblSOW7[[#This Row],[FTE Cost]]*tblSOW7[[#This Row],[% work on project]]*AM9/tblSOW7[[#This Row],[Duration]]+tblSOW7[[#This Row],[Task Cost]]*AY9+tblSOW7[[#This Row],[External Expenses/Revenues USD]]*BK9/tblSOW7[[#This Row],[Duration]]</f>
        <v>2848.1855236868641</v>
      </c>
      <c r="AB9" s="74">
        <f>tblSOW7[[#This Row],[FTE Cost]]*tblSOW7[[#This Row],[% work on project]]*AN9/tblSOW7[[#This Row],[Duration]]+tblSOW7[[#This Row],[Task Cost]]*AZ9+tblSOW7[[#This Row],[External Expenses/Revenues USD]]*BL9/tblSOW7[[#This Row],[Duration]]</f>
        <v>2848.1855236868641</v>
      </c>
      <c r="AC9" s="74">
        <f>tblSOW7[[#This Row],[FTE Cost]]*tblSOW7[[#This Row],[% work on project]]*AO9/tblSOW7[[#This Row],[Duration]]+tblSOW7[[#This Row],[Task Cost]]*BA9+tblSOW7[[#This Row],[External Expenses/Revenues USD]]*BM9/tblSOW7[[#This Row],[Duration]]</f>
        <v>2848.1855236868641</v>
      </c>
      <c r="AD9" s="74">
        <f>tblSOW7[[#This Row],[FTE Cost]]*tblSOW7[[#This Row],[% work on project]]*AP9/tblSOW7[[#This Row],[Duration]]+tblSOW7[[#This Row],[Task Cost]]*BB9+tblSOW7[[#This Row],[External Expenses/Revenues USD]]*BN9/tblSOW7[[#This Row],[Duration]]</f>
        <v>0</v>
      </c>
      <c r="AE9" s="74">
        <f>tblSOW7[[#This Row],[FTE Cost]]*tblSOW7[[#This Row],[% work on project]]*AQ9/tblSOW7[[#This Row],[Duration]]+tblSOW7[[#This Row],[Task Cost]]*BC9+tblSOW7[[#This Row],[External Expenses/Revenues USD]]*BO9/tblSOW7[[#This Row],[Duration]]</f>
        <v>0</v>
      </c>
      <c r="AF9" s="74">
        <f>tblSOW7[[#This Row],[FTE Cost]]*tblSOW7[[#This Row],[% work on project]]*AR9/tblSOW7[[#This Row],[Duration]]+tblSOW7[[#This Row],[Task Cost]]*BD9+tblSOW7[[#This Row],[External Expenses/Revenues USD]]*BP9/tblSOW7[[#This Row],[Duration]]</f>
        <v>0</v>
      </c>
      <c r="AG9" s="74">
        <f>tblSOW7[[#This Row],[FTE Cost]]*tblSOW7[[#This Row],[% work on project]]*AS9/tblSOW7[[#This Row],[Duration]]+tblSOW7[[#This Row],[Task Cost]]*BE9+tblSOW7[[#This Row],[External Expenses/Revenues USD]]*BQ9/tblSOW7[[#This Row],[Duration]]</f>
        <v>0</v>
      </c>
      <c r="AH9" s="74">
        <f>tblSOW7[[#This Row],[FTE Cost]]*tblSOW7[[#This Row],[% work on project]]*AT9/tblSOW7[[#This Row],[Duration]]+tblSOW7[[#This Row],[Task Cost]]*BF9+tblSOW7[[#This Row],[External Expenses/Revenues USD]]*BR9/tblSOW7[[#This Row],[Duration]]</f>
        <v>0</v>
      </c>
      <c r="AI9" s="74">
        <f>tblSOW7[[#This Row],[FTE Cost]]*tblSOW7[[#This Row],[% work on project]]*AU9/tblSOW7[[#This Row],[Duration]]+tblSOW7[[#This Row],[Task Cost]]*BG9+tblSOW7[[#This Row],[External Expenses/Revenues USD]]*BS9/tblSOW7[[#This Row],[Duration]]</f>
        <v>0</v>
      </c>
      <c r="AJ9" s="74">
        <f>tblSOW7[[#This Row],[FTE Cost]]*tblSOW7[[#This Row],[% work on project]]*AV9/tblSOW7[[#This Row],[Duration]]+tblSOW7[[#This Row],[Task Cost]]*BH9+tblSOW7[[#This Row],[External Expenses/Revenues USD]]*BT9/tblSOW7[[#This Row],[Duration]]</f>
        <v>0</v>
      </c>
      <c r="AK9" s="74">
        <f t="shared" si="1"/>
        <v>0</v>
      </c>
      <c r="AL9" s="74">
        <f t="shared" si="1"/>
        <v>0</v>
      </c>
      <c r="AM9" s="74">
        <f t="shared" si="1"/>
        <v>1</v>
      </c>
      <c r="AN9" s="74">
        <f t="shared" si="1"/>
        <v>1</v>
      </c>
      <c r="AO9" s="74">
        <f t="shared" si="1"/>
        <v>1</v>
      </c>
      <c r="AP9" s="74">
        <f t="shared" si="1"/>
        <v>0</v>
      </c>
      <c r="AQ9" s="74">
        <f t="shared" si="1"/>
        <v>0</v>
      </c>
      <c r="AR9" s="74">
        <f t="shared" si="1"/>
        <v>0</v>
      </c>
      <c r="AS9" s="74">
        <f t="shared" si="1"/>
        <v>0</v>
      </c>
      <c r="AT9" s="74">
        <f t="shared" si="1"/>
        <v>0</v>
      </c>
      <c r="AU9" s="74">
        <f t="shared" si="1"/>
        <v>0</v>
      </c>
      <c r="AV9" s="74">
        <f t="shared" si="1"/>
        <v>0</v>
      </c>
      <c r="AW9" s="74">
        <f t="shared" si="2"/>
        <v>0</v>
      </c>
      <c r="AX9" s="74">
        <f t="shared" si="2"/>
        <v>0</v>
      </c>
      <c r="AY9" s="74">
        <f t="shared" si="2"/>
        <v>3.3333333333333335</v>
      </c>
      <c r="AZ9" s="74">
        <f t="shared" si="2"/>
        <v>3.3333333333333335</v>
      </c>
      <c r="BA9" s="74">
        <f t="shared" si="2"/>
        <v>3.3333333333333335</v>
      </c>
      <c r="BB9" s="74">
        <f t="shared" si="2"/>
        <v>0</v>
      </c>
      <c r="BC9" s="74">
        <f t="shared" si="2"/>
        <v>0</v>
      </c>
      <c r="BD9" s="74">
        <f t="shared" si="2"/>
        <v>0</v>
      </c>
      <c r="BE9" s="74">
        <f t="shared" si="2"/>
        <v>0</v>
      </c>
      <c r="BF9" s="74">
        <f t="shared" si="2"/>
        <v>0</v>
      </c>
      <c r="BG9" s="74">
        <f t="shared" si="2"/>
        <v>0</v>
      </c>
      <c r="BH9" s="74">
        <f t="shared" si="2"/>
        <v>0</v>
      </c>
      <c r="BI9" s="74">
        <f t="shared" si="3"/>
        <v>0</v>
      </c>
      <c r="BJ9" s="74">
        <f t="shared" si="3"/>
        <v>0</v>
      </c>
      <c r="BK9" s="74">
        <f t="shared" si="3"/>
        <v>1</v>
      </c>
      <c r="BL9" s="74">
        <f t="shared" si="3"/>
        <v>1</v>
      </c>
      <c r="BM9" s="74">
        <f t="shared" si="3"/>
        <v>1</v>
      </c>
      <c r="BN9" s="74">
        <f t="shared" si="3"/>
        <v>0</v>
      </c>
      <c r="BO9" s="74">
        <f t="shared" si="3"/>
        <v>0</v>
      </c>
      <c r="BP9" s="74">
        <f t="shared" si="3"/>
        <v>0</v>
      </c>
      <c r="BQ9" s="74">
        <f t="shared" si="3"/>
        <v>0</v>
      </c>
      <c r="BR9" s="74">
        <f t="shared" si="3"/>
        <v>0</v>
      </c>
      <c r="BS9" s="74">
        <f t="shared" si="3"/>
        <v>0</v>
      </c>
      <c r="BT9" s="74">
        <f t="shared" si="3"/>
        <v>0</v>
      </c>
      <c r="BU9" s="74">
        <f>SUM(tblSOW7[[#This Row],[P1]:[P12]])</f>
        <v>3</v>
      </c>
      <c r="BV9" s="74">
        <f xml:space="preserve"> IF(AND(ISNUMBER(SEARCH("-E000",tblSOW7[[#This Row],[Budget Item]])), ISERROR(VLOOKUP(tblSOW7[[#This Row],[Employee name ]],[29]Parameters!CP:DH,19,0))),VLOOKUP(tblSOW7[[#This Row],[Employee name ]],[29]Parameters!CP:DH,19,0),IFERROR(VLOOKUP(tblSOW7[[#This Row],[Employee name ]],[29]Parameters!CP:DH,19,0),0))</f>
        <v>0</v>
      </c>
      <c r="BW9" s="74">
        <f>IFERROR(VLOOKUP(K9,[29]Parameters!BN:BW,10,0),0)</f>
        <v>854.45565710605922</v>
      </c>
    </row>
    <row r="10" spans="1:154" s="75" customFormat="1">
      <c r="A10" s="67" t="str">
        <f>CONCATENATE(INDEX([29]Parameters!$U$1:$V$20,MATCH(C10,[29]Parameters!$V$1:$V$20,0),1),"/",VLOOKUP(D10,[29]Parameters!$CG$1:$CH$12,2,0),".",E10,".",H10,".",LEFT(J10,3),"-",LEFT(K10,4))</f>
        <v>B70/20.P999.405.950-T103</v>
      </c>
      <c r="B10" s="67" t="s">
        <v>123</v>
      </c>
      <c r="C10" s="67" t="s">
        <v>123</v>
      </c>
      <c r="D10" s="39" t="s">
        <v>95</v>
      </c>
      <c r="E10" s="40" t="str">
        <f>VLOOKUP(F10,[29]Parameters!P:T,4,0)</f>
        <v>P999</v>
      </c>
      <c r="F10" s="39" t="s">
        <v>92</v>
      </c>
      <c r="G10" s="67"/>
      <c r="H10" s="67">
        <f>INDEX([29]Parameters!$B:$C,MATCH(I10,[29]Parameters!$C:$C,0),1)</f>
        <v>405</v>
      </c>
      <c r="I10" s="68" t="s">
        <v>98</v>
      </c>
      <c r="J10" s="68" t="s">
        <v>94</v>
      </c>
      <c r="K10" s="68" t="s">
        <v>99</v>
      </c>
      <c r="L10" s="68" t="str">
        <f>IFERROR(VLOOKUP(tblSOW7[[#This Row],[Employee name ]],[29]Parameters!CP:CS,4,0),"")</f>
        <v/>
      </c>
      <c r="M10" s="69"/>
      <c r="N10" s="67" t="s">
        <v>134</v>
      </c>
      <c r="O10" s="76"/>
      <c r="P10" s="72">
        <v>44986</v>
      </c>
      <c r="Q10" s="72">
        <v>45077</v>
      </c>
      <c r="R10" s="67"/>
      <c r="S10" s="67">
        <f t="shared" si="0"/>
        <v>3</v>
      </c>
      <c r="T10" s="68"/>
      <c r="U10" s="68">
        <v>5</v>
      </c>
      <c r="V10" s="68"/>
      <c r="W10" s="68"/>
      <c r="X10" s="67">
        <f>SUM(tblSOW7[[#This Row],[Jan 2023 USD]:[Dec 2023 USD]])</f>
        <v>4272.2782855302958</v>
      </c>
      <c r="Y10" s="74">
        <f>tblSOW7[[#This Row],[FTE Cost]]*tblSOW7[[#This Row],[% work on project]]*AK10/tblSOW7[[#This Row],[Duration]]+tblSOW7[[#This Row],[Task Cost]]*AW10+tblSOW7[[#This Row],[External Expenses/Revenues USD]]*BI10/tblSOW7[[#This Row],[Duration]]</f>
        <v>0</v>
      </c>
      <c r="Z10" s="74">
        <f>tblSOW7[[#This Row],[FTE Cost]]*tblSOW7[[#This Row],[% work on project]]*AL10/tblSOW7[[#This Row],[Duration]]+tblSOW7[[#This Row],[Task Cost]]*AX10+tblSOW7[[#This Row],[External Expenses/Revenues USD]]*BJ10/tblSOW7[[#This Row],[Duration]]</f>
        <v>0</v>
      </c>
      <c r="AA10" s="74">
        <f>tblSOW7[[#This Row],[FTE Cost]]*tblSOW7[[#This Row],[% work on project]]*AM10/tblSOW7[[#This Row],[Duration]]+tblSOW7[[#This Row],[Task Cost]]*AY10+tblSOW7[[#This Row],[External Expenses/Revenues USD]]*BK10/tblSOW7[[#This Row],[Duration]]</f>
        <v>1424.0927618434321</v>
      </c>
      <c r="AB10" s="74">
        <f>tblSOW7[[#This Row],[FTE Cost]]*tblSOW7[[#This Row],[% work on project]]*AN10/tblSOW7[[#This Row],[Duration]]+tblSOW7[[#This Row],[Task Cost]]*AZ10+tblSOW7[[#This Row],[External Expenses/Revenues USD]]*BL10/tblSOW7[[#This Row],[Duration]]</f>
        <v>1424.0927618434321</v>
      </c>
      <c r="AC10" s="74">
        <f>tblSOW7[[#This Row],[FTE Cost]]*tblSOW7[[#This Row],[% work on project]]*AO10/tblSOW7[[#This Row],[Duration]]+tblSOW7[[#This Row],[Task Cost]]*BA10+tblSOW7[[#This Row],[External Expenses/Revenues USD]]*BM10/tblSOW7[[#This Row],[Duration]]</f>
        <v>1424.0927618434321</v>
      </c>
      <c r="AD10" s="74">
        <f>tblSOW7[[#This Row],[FTE Cost]]*tblSOW7[[#This Row],[% work on project]]*AP10/tblSOW7[[#This Row],[Duration]]+tblSOW7[[#This Row],[Task Cost]]*BB10+tblSOW7[[#This Row],[External Expenses/Revenues USD]]*BN10/tblSOW7[[#This Row],[Duration]]</f>
        <v>0</v>
      </c>
      <c r="AE10" s="74">
        <f>tblSOW7[[#This Row],[FTE Cost]]*tblSOW7[[#This Row],[% work on project]]*AQ10/tblSOW7[[#This Row],[Duration]]+tblSOW7[[#This Row],[Task Cost]]*BC10+tblSOW7[[#This Row],[External Expenses/Revenues USD]]*BO10/tblSOW7[[#This Row],[Duration]]</f>
        <v>0</v>
      </c>
      <c r="AF10" s="74">
        <f>tblSOW7[[#This Row],[FTE Cost]]*tblSOW7[[#This Row],[% work on project]]*AR10/tblSOW7[[#This Row],[Duration]]+tblSOW7[[#This Row],[Task Cost]]*BD10+tblSOW7[[#This Row],[External Expenses/Revenues USD]]*BP10/tblSOW7[[#This Row],[Duration]]</f>
        <v>0</v>
      </c>
      <c r="AG10" s="74">
        <f>tblSOW7[[#This Row],[FTE Cost]]*tblSOW7[[#This Row],[% work on project]]*AS10/tblSOW7[[#This Row],[Duration]]+tblSOW7[[#This Row],[Task Cost]]*BE10+tblSOW7[[#This Row],[External Expenses/Revenues USD]]*BQ10/tblSOW7[[#This Row],[Duration]]</f>
        <v>0</v>
      </c>
      <c r="AH10" s="74">
        <f>tblSOW7[[#This Row],[FTE Cost]]*tblSOW7[[#This Row],[% work on project]]*AT10/tblSOW7[[#This Row],[Duration]]+tblSOW7[[#This Row],[Task Cost]]*BF10+tblSOW7[[#This Row],[External Expenses/Revenues USD]]*BR10/tblSOW7[[#This Row],[Duration]]</f>
        <v>0</v>
      </c>
      <c r="AI10" s="74">
        <f>tblSOW7[[#This Row],[FTE Cost]]*tblSOW7[[#This Row],[% work on project]]*AU10/tblSOW7[[#This Row],[Duration]]+tblSOW7[[#This Row],[Task Cost]]*BG10+tblSOW7[[#This Row],[External Expenses/Revenues USD]]*BS10/tblSOW7[[#This Row],[Duration]]</f>
        <v>0</v>
      </c>
      <c r="AJ10" s="74">
        <f>tblSOW7[[#This Row],[FTE Cost]]*tblSOW7[[#This Row],[% work on project]]*AV10/tblSOW7[[#This Row],[Duration]]+tblSOW7[[#This Row],[Task Cost]]*BH10+tblSOW7[[#This Row],[External Expenses/Revenues USD]]*BT10/tblSOW7[[#This Row],[Duration]]</f>
        <v>0</v>
      </c>
      <c r="AK10" s="74">
        <f t="shared" si="1"/>
        <v>0</v>
      </c>
      <c r="AL10" s="74">
        <f t="shared" si="1"/>
        <v>0</v>
      </c>
      <c r="AM10" s="74">
        <f t="shared" si="1"/>
        <v>1</v>
      </c>
      <c r="AN10" s="74">
        <f t="shared" si="1"/>
        <v>1</v>
      </c>
      <c r="AO10" s="74">
        <f t="shared" si="1"/>
        <v>1</v>
      </c>
      <c r="AP10" s="74">
        <f t="shared" si="1"/>
        <v>0</v>
      </c>
      <c r="AQ10" s="74">
        <f t="shared" si="1"/>
        <v>0</v>
      </c>
      <c r="AR10" s="74">
        <f t="shared" si="1"/>
        <v>0</v>
      </c>
      <c r="AS10" s="74">
        <f t="shared" si="1"/>
        <v>0</v>
      </c>
      <c r="AT10" s="74">
        <f t="shared" si="1"/>
        <v>0</v>
      </c>
      <c r="AU10" s="74">
        <f t="shared" si="1"/>
        <v>0</v>
      </c>
      <c r="AV10" s="74">
        <f t="shared" si="1"/>
        <v>0</v>
      </c>
      <c r="AW10" s="74">
        <f t="shared" si="2"/>
        <v>0</v>
      </c>
      <c r="AX10" s="74">
        <f t="shared" si="2"/>
        <v>0</v>
      </c>
      <c r="AY10" s="74">
        <f t="shared" si="2"/>
        <v>1.6666666666666667</v>
      </c>
      <c r="AZ10" s="74">
        <f t="shared" si="2"/>
        <v>1.6666666666666667</v>
      </c>
      <c r="BA10" s="74">
        <f t="shared" si="2"/>
        <v>1.6666666666666667</v>
      </c>
      <c r="BB10" s="74">
        <f t="shared" si="2"/>
        <v>0</v>
      </c>
      <c r="BC10" s="74">
        <f t="shared" si="2"/>
        <v>0</v>
      </c>
      <c r="BD10" s="74">
        <f t="shared" si="2"/>
        <v>0</v>
      </c>
      <c r="BE10" s="74">
        <f t="shared" si="2"/>
        <v>0</v>
      </c>
      <c r="BF10" s="74">
        <f t="shared" si="2"/>
        <v>0</v>
      </c>
      <c r="BG10" s="74">
        <f t="shared" si="2"/>
        <v>0</v>
      </c>
      <c r="BH10" s="74">
        <f t="shared" si="2"/>
        <v>0</v>
      </c>
      <c r="BI10" s="74">
        <f t="shared" si="3"/>
        <v>0</v>
      </c>
      <c r="BJ10" s="74">
        <f t="shared" si="3"/>
        <v>0</v>
      </c>
      <c r="BK10" s="74">
        <f t="shared" si="3"/>
        <v>1</v>
      </c>
      <c r="BL10" s="74">
        <f t="shared" si="3"/>
        <v>1</v>
      </c>
      <c r="BM10" s="74">
        <f t="shared" si="3"/>
        <v>1</v>
      </c>
      <c r="BN10" s="74">
        <f t="shared" si="3"/>
        <v>0</v>
      </c>
      <c r="BO10" s="74">
        <f t="shared" si="3"/>
        <v>0</v>
      </c>
      <c r="BP10" s="74">
        <f t="shared" si="3"/>
        <v>0</v>
      </c>
      <c r="BQ10" s="74">
        <f t="shared" si="3"/>
        <v>0</v>
      </c>
      <c r="BR10" s="74">
        <f t="shared" si="3"/>
        <v>0</v>
      </c>
      <c r="BS10" s="74">
        <f t="shared" si="3"/>
        <v>0</v>
      </c>
      <c r="BT10" s="74">
        <f t="shared" si="3"/>
        <v>0</v>
      </c>
      <c r="BU10" s="74">
        <f>SUM(tblSOW7[[#This Row],[P1]:[P12]])</f>
        <v>3</v>
      </c>
      <c r="BV10" s="74">
        <f xml:space="preserve"> IF(AND(ISNUMBER(SEARCH("-E000",tblSOW7[[#This Row],[Budget Item]])), ISERROR(VLOOKUP(tblSOW7[[#This Row],[Employee name ]],[29]Parameters!CP:DH,19,0))),VLOOKUP(tblSOW7[[#This Row],[Employee name ]],[29]Parameters!CP:DH,19,0),IFERROR(VLOOKUP(tblSOW7[[#This Row],[Employee name ]],[29]Parameters!CP:DH,19,0),0))</f>
        <v>0</v>
      </c>
      <c r="BW10" s="74">
        <f>IFERROR(VLOOKUP(K10,[29]Parameters!BN:BW,10,0),0)</f>
        <v>854.45565710605922</v>
      </c>
    </row>
    <row r="11" spans="1:154" s="75" customFormat="1">
      <c r="A11" s="67" t="str">
        <f>CONCATENATE(INDEX([29]Parameters!$U$1:$V$20,MATCH(C11,[29]Parameters!$V$1:$V$20,0),1),"/",VLOOKUP(D11,[29]Parameters!$CG$1:$CH$12,2,0),".",E11,".",H11,".",LEFT(J11,3),"-",LEFT(K11,4))</f>
        <v>B70/20.P999.427.950-T109</v>
      </c>
      <c r="B11" s="67" t="s">
        <v>123</v>
      </c>
      <c r="C11" s="67" t="s">
        <v>123</v>
      </c>
      <c r="D11" s="39" t="s">
        <v>95</v>
      </c>
      <c r="E11" s="40" t="str">
        <f>VLOOKUP(F11,[29]Parameters!P:T,4,0)</f>
        <v>P999</v>
      </c>
      <c r="F11" s="39" t="s">
        <v>92</v>
      </c>
      <c r="G11" s="67"/>
      <c r="H11" s="67">
        <f>INDEX([29]Parameters!$B:$C,MATCH(I11,[29]Parameters!$C:$C,0),1)</f>
        <v>427</v>
      </c>
      <c r="I11" s="68" t="s">
        <v>104</v>
      </c>
      <c r="J11" s="68" t="s">
        <v>94</v>
      </c>
      <c r="K11" s="68" t="s">
        <v>105</v>
      </c>
      <c r="L11" s="68" t="str">
        <f>IFERROR(VLOOKUP(tblSOW7[[#This Row],[Employee name ]],[29]Parameters!CP:CS,4,0),"")</f>
        <v/>
      </c>
      <c r="M11" s="69"/>
      <c r="N11" s="67" t="s">
        <v>135</v>
      </c>
      <c r="O11" s="76"/>
      <c r="P11" s="72">
        <v>44986</v>
      </c>
      <c r="Q11" s="72">
        <v>45077</v>
      </c>
      <c r="R11" s="67"/>
      <c r="S11" s="67">
        <f t="shared" si="0"/>
        <v>3</v>
      </c>
      <c r="T11" s="68"/>
      <c r="U11" s="68">
        <v>2</v>
      </c>
      <c r="V11" s="68"/>
      <c r="W11" s="68"/>
      <c r="X11" s="67">
        <f>SUM(tblSOW7[[#This Row],[Jan 2023 USD]:[Dec 2023 USD]])</f>
        <v>1654.8864134118219</v>
      </c>
      <c r="Y11" s="74">
        <f>tblSOW7[[#This Row],[FTE Cost]]*tblSOW7[[#This Row],[% work on project]]*AK11/tblSOW7[[#This Row],[Duration]]+tblSOW7[[#This Row],[Task Cost]]*AW11+tblSOW7[[#This Row],[External Expenses/Revenues USD]]*BI11/tblSOW7[[#This Row],[Duration]]</f>
        <v>0</v>
      </c>
      <c r="Z11" s="74">
        <f>tblSOW7[[#This Row],[FTE Cost]]*tblSOW7[[#This Row],[% work on project]]*AL11/tblSOW7[[#This Row],[Duration]]+tblSOW7[[#This Row],[Task Cost]]*AX11+tblSOW7[[#This Row],[External Expenses/Revenues USD]]*BJ11/tblSOW7[[#This Row],[Duration]]</f>
        <v>0</v>
      </c>
      <c r="AA11" s="74">
        <f>tblSOW7[[#This Row],[FTE Cost]]*tblSOW7[[#This Row],[% work on project]]*AM11/tblSOW7[[#This Row],[Duration]]+tblSOW7[[#This Row],[Task Cost]]*AY11+tblSOW7[[#This Row],[External Expenses/Revenues USD]]*BK11/tblSOW7[[#This Row],[Duration]]</f>
        <v>551.62880447060729</v>
      </c>
      <c r="AB11" s="74">
        <f>tblSOW7[[#This Row],[FTE Cost]]*tblSOW7[[#This Row],[% work on project]]*AN11/tblSOW7[[#This Row],[Duration]]+tblSOW7[[#This Row],[Task Cost]]*AZ11+tblSOW7[[#This Row],[External Expenses/Revenues USD]]*BL11/tblSOW7[[#This Row],[Duration]]</f>
        <v>551.62880447060729</v>
      </c>
      <c r="AC11" s="74">
        <f>tblSOW7[[#This Row],[FTE Cost]]*tblSOW7[[#This Row],[% work on project]]*AO11/tblSOW7[[#This Row],[Duration]]+tblSOW7[[#This Row],[Task Cost]]*BA11+tblSOW7[[#This Row],[External Expenses/Revenues USD]]*BM11/tblSOW7[[#This Row],[Duration]]</f>
        <v>551.62880447060729</v>
      </c>
      <c r="AD11" s="74">
        <f>tblSOW7[[#This Row],[FTE Cost]]*tblSOW7[[#This Row],[% work on project]]*AP11/tblSOW7[[#This Row],[Duration]]+tblSOW7[[#This Row],[Task Cost]]*BB11+tblSOW7[[#This Row],[External Expenses/Revenues USD]]*BN11/tblSOW7[[#This Row],[Duration]]</f>
        <v>0</v>
      </c>
      <c r="AE11" s="74">
        <f>tblSOW7[[#This Row],[FTE Cost]]*tblSOW7[[#This Row],[% work on project]]*AQ11/tblSOW7[[#This Row],[Duration]]+tblSOW7[[#This Row],[Task Cost]]*BC11+tblSOW7[[#This Row],[External Expenses/Revenues USD]]*BO11/tblSOW7[[#This Row],[Duration]]</f>
        <v>0</v>
      </c>
      <c r="AF11" s="74">
        <f>tblSOW7[[#This Row],[FTE Cost]]*tblSOW7[[#This Row],[% work on project]]*AR11/tblSOW7[[#This Row],[Duration]]+tblSOW7[[#This Row],[Task Cost]]*BD11+tblSOW7[[#This Row],[External Expenses/Revenues USD]]*BP11/tblSOW7[[#This Row],[Duration]]</f>
        <v>0</v>
      </c>
      <c r="AG11" s="74">
        <f>tblSOW7[[#This Row],[FTE Cost]]*tblSOW7[[#This Row],[% work on project]]*AS11/tblSOW7[[#This Row],[Duration]]+tblSOW7[[#This Row],[Task Cost]]*BE11+tblSOW7[[#This Row],[External Expenses/Revenues USD]]*BQ11/tblSOW7[[#This Row],[Duration]]</f>
        <v>0</v>
      </c>
      <c r="AH11" s="74">
        <f>tblSOW7[[#This Row],[FTE Cost]]*tblSOW7[[#This Row],[% work on project]]*AT11/tblSOW7[[#This Row],[Duration]]+tblSOW7[[#This Row],[Task Cost]]*BF11+tblSOW7[[#This Row],[External Expenses/Revenues USD]]*BR11/tblSOW7[[#This Row],[Duration]]</f>
        <v>0</v>
      </c>
      <c r="AI11" s="74">
        <f>tblSOW7[[#This Row],[FTE Cost]]*tblSOW7[[#This Row],[% work on project]]*AU11/tblSOW7[[#This Row],[Duration]]+tblSOW7[[#This Row],[Task Cost]]*BG11+tblSOW7[[#This Row],[External Expenses/Revenues USD]]*BS11/tblSOW7[[#This Row],[Duration]]</f>
        <v>0</v>
      </c>
      <c r="AJ11" s="74">
        <f>tblSOW7[[#This Row],[FTE Cost]]*tblSOW7[[#This Row],[% work on project]]*AV11/tblSOW7[[#This Row],[Duration]]+tblSOW7[[#This Row],[Task Cost]]*BH11+tblSOW7[[#This Row],[External Expenses/Revenues USD]]*BT11/tblSOW7[[#This Row],[Duration]]</f>
        <v>0</v>
      </c>
      <c r="AK11" s="74">
        <f t="shared" si="1"/>
        <v>0</v>
      </c>
      <c r="AL11" s="74">
        <f t="shared" si="1"/>
        <v>0</v>
      </c>
      <c r="AM11" s="74">
        <f t="shared" si="1"/>
        <v>1</v>
      </c>
      <c r="AN11" s="74">
        <f t="shared" si="1"/>
        <v>1</v>
      </c>
      <c r="AO11" s="74">
        <f t="shared" si="1"/>
        <v>1</v>
      </c>
      <c r="AP11" s="74">
        <f t="shared" si="1"/>
        <v>0</v>
      </c>
      <c r="AQ11" s="74">
        <f t="shared" si="1"/>
        <v>0</v>
      </c>
      <c r="AR11" s="74">
        <f t="shared" si="1"/>
        <v>0</v>
      </c>
      <c r="AS11" s="74">
        <f t="shared" si="1"/>
        <v>0</v>
      </c>
      <c r="AT11" s="74">
        <f t="shared" si="1"/>
        <v>0</v>
      </c>
      <c r="AU11" s="74">
        <f t="shared" si="1"/>
        <v>0</v>
      </c>
      <c r="AV11" s="74">
        <f t="shared" si="1"/>
        <v>0</v>
      </c>
      <c r="AW11" s="74">
        <f t="shared" si="2"/>
        <v>0</v>
      </c>
      <c r="AX11" s="74">
        <f t="shared" si="2"/>
        <v>0</v>
      </c>
      <c r="AY11" s="74">
        <f t="shared" si="2"/>
        <v>0.66666666666666663</v>
      </c>
      <c r="AZ11" s="74">
        <f t="shared" si="2"/>
        <v>0.66666666666666663</v>
      </c>
      <c r="BA11" s="74">
        <f t="shared" si="2"/>
        <v>0.66666666666666663</v>
      </c>
      <c r="BB11" s="74">
        <f t="shared" si="2"/>
        <v>0</v>
      </c>
      <c r="BC11" s="74">
        <f t="shared" si="2"/>
        <v>0</v>
      </c>
      <c r="BD11" s="74">
        <f t="shared" si="2"/>
        <v>0</v>
      </c>
      <c r="BE11" s="74">
        <f t="shared" si="2"/>
        <v>0</v>
      </c>
      <c r="BF11" s="74">
        <f t="shared" si="2"/>
        <v>0</v>
      </c>
      <c r="BG11" s="74">
        <f t="shared" si="2"/>
        <v>0</v>
      </c>
      <c r="BH11" s="74">
        <f t="shared" si="2"/>
        <v>0</v>
      </c>
      <c r="BI11" s="74">
        <f t="shared" si="3"/>
        <v>0</v>
      </c>
      <c r="BJ11" s="74">
        <f t="shared" si="3"/>
        <v>0</v>
      </c>
      <c r="BK11" s="74">
        <f t="shared" si="3"/>
        <v>1</v>
      </c>
      <c r="BL11" s="74">
        <f t="shared" si="3"/>
        <v>1</v>
      </c>
      <c r="BM11" s="74">
        <f t="shared" si="3"/>
        <v>1</v>
      </c>
      <c r="BN11" s="74">
        <f t="shared" si="3"/>
        <v>0</v>
      </c>
      <c r="BO11" s="74">
        <f t="shared" si="3"/>
        <v>0</v>
      </c>
      <c r="BP11" s="74">
        <f t="shared" si="3"/>
        <v>0</v>
      </c>
      <c r="BQ11" s="74">
        <f t="shared" si="3"/>
        <v>0</v>
      </c>
      <c r="BR11" s="74">
        <f t="shared" si="3"/>
        <v>0</v>
      </c>
      <c r="BS11" s="74">
        <f t="shared" si="3"/>
        <v>0</v>
      </c>
      <c r="BT11" s="74">
        <f t="shared" si="3"/>
        <v>0</v>
      </c>
      <c r="BU11" s="74">
        <f>SUM(tblSOW7[[#This Row],[P1]:[P12]])</f>
        <v>3</v>
      </c>
      <c r="BV11" s="74">
        <f xml:space="preserve"> IF(AND(ISNUMBER(SEARCH("-E000",tblSOW7[[#This Row],[Budget Item]])), ISERROR(VLOOKUP(tblSOW7[[#This Row],[Employee name ]],[29]Parameters!CP:DH,19,0))),VLOOKUP(tblSOW7[[#This Row],[Employee name ]],[29]Parameters!CP:DH,19,0),IFERROR(VLOOKUP(tblSOW7[[#This Row],[Employee name ]],[29]Parameters!CP:DH,19,0),0))</f>
        <v>0</v>
      </c>
      <c r="BW11" s="74">
        <f>IFERROR(VLOOKUP(K11,[29]Parameters!BN:BW,10,0),0)</f>
        <v>827.44320670591105</v>
      </c>
    </row>
    <row r="12" spans="1:154" s="75" customFormat="1">
      <c r="A12" s="67" t="str">
        <f>CONCATENATE(INDEX([29]Parameters!$U$1:$V$20,MATCH(C12,[29]Parameters!$V$1:$V$20,0),1),"/",VLOOKUP(D12,[29]Parameters!$CG$1:$CH$12,2,0),".",E12,".",H12,".",LEFT(J12,3),"-",LEFT(K12,4))</f>
        <v>B70/20.P999.405.950-T103</v>
      </c>
      <c r="B12" s="67" t="s">
        <v>123</v>
      </c>
      <c r="C12" s="67" t="s">
        <v>123</v>
      </c>
      <c r="D12" s="39" t="s">
        <v>95</v>
      </c>
      <c r="E12" s="40" t="str">
        <f>VLOOKUP(F12,[29]Parameters!P:T,4,0)</f>
        <v>P999</v>
      </c>
      <c r="F12" s="39" t="s">
        <v>92</v>
      </c>
      <c r="G12" s="67"/>
      <c r="H12" s="67">
        <f>INDEX([29]Parameters!$B:$C,MATCH(I12,[29]Parameters!$C:$C,0),1)</f>
        <v>405</v>
      </c>
      <c r="I12" s="68" t="s">
        <v>98</v>
      </c>
      <c r="J12" s="68" t="s">
        <v>94</v>
      </c>
      <c r="K12" s="68" t="s">
        <v>99</v>
      </c>
      <c r="L12" s="68" t="str">
        <f>IFERROR(VLOOKUP(tblSOW7[[#This Row],[Employee name ]],[29]Parameters!CP:CS,4,0),"")</f>
        <v/>
      </c>
      <c r="M12" s="69"/>
      <c r="N12" s="67" t="s">
        <v>136</v>
      </c>
      <c r="O12" s="76"/>
      <c r="P12" s="72">
        <v>45078</v>
      </c>
      <c r="Q12" s="72">
        <v>45169</v>
      </c>
      <c r="R12" s="67"/>
      <c r="S12" s="67">
        <f t="shared" si="0"/>
        <v>3</v>
      </c>
      <c r="T12" s="68"/>
      <c r="U12" s="68">
        <v>7</v>
      </c>
      <c r="V12" s="68"/>
      <c r="W12" s="68"/>
      <c r="X12" s="67">
        <f>SUM(tblSOW7[[#This Row],[Jan 2023 USD]:[Dec 2023 USD]])</f>
        <v>5981.1895997424153</v>
      </c>
      <c r="Y12" s="74">
        <f>tblSOW7[[#This Row],[FTE Cost]]*tblSOW7[[#This Row],[% work on project]]*AK12/tblSOW7[[#This Row],[Duration]]+tblSOW7[[#This Row],[Task Cost]]*AW12+tblSOW7[[#This Row],[External Expenses/Revenues USD]]*BI12/tblSOW7[[#This Row],[Duration]]</f>
        <v>0</v>
      </c>
      <c r="Z12" s="74">
        <f>tblSOW7[[#This Row],[FTE Cost]]*tblSOW7[[#This Row],[% work on project]]*AL12/tblSOW7[[#This Row],[Duration]]+tblSOW7[[#This Row],[Task Cost]]*AX12+tblSOW7[[#This Row],[External Expenses/Revenues USD]]*BJ12/tblSOW7[[#This Row],[Duration]]</f>
        <v>0</v>
      </c>
      <c r="AA12" s="74">
        <f>tblSOW7[[#This Row],[FTE Cost]]*tblSOW7[[#This Row],[% work on project]]*AM12/tblSOW7[[#This Row],[Duration]]+tblSOW7[[#This Row],[Task Cost]]*AY12+tblSOW7[[#This Row],[External Expenses/Revenues USD]]*BK12/tblSOW7[[#This Row],[Duration]]</f>
        <v>0</v>
      </c>
      <c r="AB12" s="74">
        <f>tblSOW7[[#This Row],[FTE Cost]]*tblSOW7[[#This Row],[% work on project]]*AN12/tblSOW7[[#This Row],[Duration]]+tblSOW7[[#This Row],[Task Cost]]*AZ12+tblSOW7[[#This Row],[External Expenses/Revenues USD]]*BL12/tblSOW7[[#This Row],[Duration]]</f>
        <v>0</v>
      </c>
      <c r="AC12" s="74">
        <f>tblSOW7[[#This Row],[FTE Cost]]*tblSOW7[[#This Row],[% work on project]]*AO12/tblSOW7[[#This Row],[Duration]]+tblSOW7[[#This Row],[Task Cost]]*BA12+tblSOW7[[#This Row],[External Expenses/Revenues USD]]*BM12/tblSOW7[[#This Row],[Duration]]</f>
        <v>0</v>
      </c>
      <c r="AD12" s="74">
        <f>tblSOW7[[#This Row],[FTE Cost]]*tblSOW7[[#This Row],[% work on project]]*AP12/tblSOW7[[#This Row],[Duration]]+tblSOW7[[#This Row],[Task Cost]]*BB12+tblSOW7[[#This Row],[External Expenses/Revenues USD]]*BN12/tblSOW7[[#This Row],[Duration]]</f>
        <v>1993.729866580805</v>
      </c>
      <c r="AE12" s="74">
        <f>tblSOW7[[#This Row],[FTE Cost]]*tblSOW7[[#This Row],[% work on project]]*AQ12/tblSOW7[[#This Row],[Duration]]+tblSOW7[[#This Row],[Task Cost]]*BC12+tblSOW7[[#This Row],[External Expenses/Revenues USD]]*BO12/tblSOW7[[#This Row],[Duration]]</f>
        <v>1993.729866580805</v>
      </c>
      <c r="AF12" s="74">
        <f>tblSOW7[[#This Row],[FTE Cost]]*tblSOW7[[#This Row],[% work on project]]*AR12/tblSOW7[[#This Row],[Duration]]+tblSOW7[[#This Row],[Task Cost]]*BD12+tblSOW7[[#This Row],[External Expenses/Revenues USD]]*BP12/tblSOW7[[#This Row],[Duration]]</f>
        <v>1993.729866580805</v>
      </c>
      <c r="AG12" s="74">
        <f>tblSOW7[[#This Row],[FTE Cost]]*tblSOW7[[#This Row],[% work on project]]*AS12/tblSOW7[[#This Row],[Duration]]+tblSOW7[[#This Row],[Task Cost]]*BE12+tblSOW7[[#This Row],[External Expenses/Revenues USD]]*BQ12/tblSOW7[[#This Row],[Duration]]</f>
        <v>0</v>
      </c>
      <c r="AH12" s="74">
        <f>tblSOW7[[#This Row],[FTE Cost]]*tblSOW7[[#This Row],[% work on project]]*AT12/tblSOW7[[#This Row],[Duration]]+tblSOW7[[#This Row],[Task Cost]]*BF12+tblSOW7[[#This Row],[External Expenses/Revenues USD]]*BR12/tblSOW7[[#This Row],[Duration]]</f>
        <v>0</v>
      </c>
      <c r="AI12" s="74">
        <f>tblSOW7[[#This Row],[FTE Cost]]*tblSOW7[[#This Row],[% work on project]]*AU12/tblSOW7[[#This Row],[Duration]]+tblSOW7[[#This Row],[Task Cost]]*BG12+tblSOW7[[#This Row],[External Expenses/Revenues USD]]*BS12/tblSOW7[[#This Row],[Duration]]</f>
        <v>0</v>
      </c>
      <c r="AJ12" s="74">
        <f>tblSOW7[[#This Row],[FTE Cost]]*tblSOW7[[#This Row],[% work on project]]*AV12/tblSOW7[[#This Row],[Duration]]+tblSOW7[[#This Row],[Task Cost]]*BH12+tblSOW7[[#This Row],[External Expenses/Revenues USD]]*BT12/tblSOW7[[#This Row],[Duration]]</f>
        <v>0</v>
      </c>
      <c r="AK12" s="74">
        <f t="shared" si="1"/>
        <v>0</v>
      </c>
      <c r="AL12" s="74">
        <f t="shared" si="1"/>
        <v>0</v>
      </c>
      <c r="AM12" s="74">
        <f t="shared" si="1"/>
        <v>0</v>
      </c>
      <c r="AN12" s="74">
        <f t="shared" si="1"/>
        <v>0</v>
      </c>
      <c r="AO12" s="74">
        <f t="shared" si="1"/>
        <v>0</v>
      </c>
      <c r="AP12" s="74">
        <f t="shared" si="1"/>
        <v>1</v>
      </c>
      <c r="AQ12" s="74">
        <f t="shared" si="1"/>
        <v>1</v>
      </c>
      <c r="AR12" s="74">
        <f t="shared" si="1"/>
        <v>1</v>
      </c>
      <c r="AS12" s="74">
        <f t="shared" si="1"/>
        <v>0</v>
      </c>
      <c r="AT12" s="74">
        <f t="shared" si="1"/>
        <v>0</v>
      </c>
      <c r="AU12" s="74">
        <f t="shared" si="1"/>
        <v>0</v>
      </c>
      <c r="AV12" s="74">
        <f t="shared" si="1"/>
        <v>0</v>
      </c>
      <c r="AW12" s="74">
        <f t="shared" si="2"/>
        <v>0</v>
      </c>
      <c r="AX12" s="74">
        <f t="shared" si="2"/>
        <v>0</v>
      </c>
      <c r="AY12" s="74">
        <f t="shared" si="2"/>
        <v>0</v>
      </c>
      <c r="AZ12" s="74">
        <f t="shared" si="2"/>
        <v>0</v>
      </c>
      <c r="BA12" s="74">
        <f t="shared" si="2"/>
        <v>0</v>
      </c>
      <c r="BB12" s="74">
        <f t="shared" si="2"/>
        <v>2.3333333333333335</v>
      </c>
      <c r="BC12" s="74">
        <f t="shared" si="2"/>
        <v>2.3333333333333335</v>
      </c>
      <c r="BD12" s="74">
        <f t="shared" si="2"/>
        <v>2.3333333333333335</v>
      </c>
      <c r="BE12" s="74">
        <f t="shared" si="2"/>
        <v>0</v>
      </c>
      <c r="BF12" s="74">
        <f t="shared" si="2"/>
        <v>0</v>
      </c>
      <c r="BG12" s="74">
        <f t="shared" si="2"/>
        <v>0</v>
      </c>
      <c r="BH12" s="74">
        <f t="shared" si="2"/>
        <v>0</v>
      </c>
      <c r="BI12" s="74">
        <f t="shared" si="3"/>
        <v>0</v>
      </c>
      <c r="BJ12" s="74">
        <f t="shared" si="3"/>
        <v>0</v>
      </c>
      <c r="BK12" s="74">
        <f t="shared" si="3"/>
        <v>0</v>
      </c>
      <c r="BL12" s="74">
        <f t="shared" si="3"/>
        <v>0</v>
      </c>
      <c r="BM12" s="74">
        <f t="shared" si="3"/>
        <v>0</v>
      </c>
      <c r="BN12" s="74">
        <f t="shared" si="3"/>
        <v>1</v>
      </c>
      <c r="BO12" s="74">
        <f t="shared" si="3"/>
        <v>1</v>
      </c>
      <c r="BP12" s="74">
        <f t="shared" si="3"/>
        <v>1</v>
      </c>
      <c r="BQ12" s="74">
        <f t="shared" si="3"/>
        <v>0</v>
      </c>
      <c r="BR12" s="74">
        <f t="shared" si="3"/>
        <v>0</v>
      </c>
      <c r="BS12" s="74">
        <f t="shared" si="3"/>
        <v>0</v>
      </c>
      <c r="BT12" s="74">
        <f t="shared" si="3"/>
        <v>0</v>
      </c>
      <c r="BU12" s="74">
        <f>SUM(tblSOW7[[#This Row],[P1]:[P12]])</f>
        <v>3</v>
      </c>
      <c r="BV12" s="74">
        <f xml:space="preserve"> IF(AND(ISNUMBER(SEARCH("-E000",tblSOW7[[#This Row],[Budget Item]])), ISERROR(VLOOKUP(tblSOW7[[#This Row],[Employee name ]],[29]Parameters!CP:DH,19,0))),VLOOKUP(tblSOW7[[#This Row],[Employee name ]],[29]Parameters!CP:DH,19,0),IFERROR(VLOOKUP(tblSOW7[[#This Row],[Employee name ]],[29]Parameters!CP:DH,19,0),0))</f>
        <v>0</v>
      </c>
      <c r="BW12" s="74">
        <f>IFERROR(VLOOKUP(K12,[29]Parameters!BN:BW,10,0),0)</f>
        <v>854.45565710605922</v>
      </c>
    </row>
    <row r="13" spans="1:154" s="75" customFormat="1">
      <c r="A13" s="67" t="str">
        <f>CONCATENATE(INDEX([29]Parameters!$U$1:$V$20,MATCH(C13,[29]Parameters!$V$1:$V$20,0),1),"/",VLOOKUP(D13,[29]Parameters!$CG$1:$CH$12,2,0),".",E13,".",H13,".",LEFT(J13,3),"-",LEFT(K13,4))</f>
        <v>B70/20.P999.405.950-T103</v>
      </c>
      <c r="B13" s="67" t="s">
        <v>123</v>
      </c>
      <c r="C13" s="67" t="s">
        <v>123</v>
      </c>
      <c r="D13" s="39" t="s">
        <v>95</v>
      </c>
      <c r="E13" s="40" t="str">
        <f>VLOOKUP(F13,[29]Parameters!P:T,4,0)</f>
        <v>P999</v>
      </c>
      <c r="F13" s="39" t="s">
        <v>92</v>
      </c>
      <c r="G13" s="67"/>
      <c r="H13" s="67">
        <f>INDEX([29]Parameters!$B:$C,MATCH(I13,[29]Parameters!$C:$C,0),1)</f>
        <v>405</v>
      </c>
      <c r="I13" s="68" t="s">
        <v>98</v>
      </c>
      <c r="J13" s="68" t="s">
        <v>94</v>
      </c>
      <c r="K13" s="68" t="s">
        <v>99</v>
      </c>
      <c r="L13" s="68" t="str">
        <f>IFERROR(VLOOKUP(tblSOW7[[#This Row],[Employee name ]],[29]Parameters!CP:CS,4,0),"")</f>
        <v/>
      </c>
      <c r="M13" s="69"/>
      <c r="N13" s="67" t="s">
        <v>137</v>
      </c>
      <c r="O13" s="76"/>
      <c r="P13" s="72">
        <v>45078</v>
      </c>
      <c r="Q13" s="72">
        <v>45169</v>
      </c>
      <c r="R13" s="67"/>
      <c r="S13" s="67">
        <f t="shared" si="0"/>
        <v>3</v>
      </c>
      <c r="T13" s="68"/>
      <c r="U13" s="68">
        <v>10</v>
      </c>
      <c r="V13" s="68"/>
      <c r="W13" s="68"/>
      <c r="X13" s="67">
        <f>SUM(tblSOW7[[#This Row],[Jan 2023 USD]:[Dec 2023 USD]])</f>
        <v>8544.5565710605915</v>
      </c>
      <c r="Y13" s="74">
        <f>tblSOW7[[#This Row],[FTE Cost]]*tblSOW7[[#This Row],[% work on project]]*AK13/tblSOW7[[#This Row],[Duration]]+tblSOW7[[#This Row],[Task Cost]]*AW13+tblSOW7[[#This Row],[External Expenses/Revenues USD]]*BI13/tblSOW7[[#This Row],[Duration]]</f>
        <v>0</v>
      </c>
      <c r="Z13" s="74">
        <f>tblSOW7[[#This Row],[FTE Cost]]*tblSOW7[[#This Row],[% work on project]]*AL13/tblSOW7[[#This Row],[Duration]]+tblSOW7[[#This Row],[Task Cost]]*AX13+tblSOW7[[#This Row],[External Expenses/Revenues USD]]*BJ13/tblSOW7[[#This Row],[Duration]]</f>
        <v>0</v>
      </c>
      <c r="AA13" s="74">
        <f>tblSOW7[[#This Row],[FTE Cost]]*tblSOW7[[#This Row],[% work on project]]*AM13/tblSOW7[[#This Row],[Duration]]+tblSOW7[[#This Row],[Task Cost]]*AY13+tblSOW7[[#This Row],[External Expenses/Revenues USD]]*BK13/tblSOW7[[#This Row],[Duration]]</f>
        <v>0</v>
      </c>
      <c r="AB13" s="74">
        <f>tblSOW7[[#This Row],[FTE Cost]]*tblSOW7[[#This Row],[% work on project]]*AN13/tblSOW7[[#This Row],[Duration]]+tblSOW7[[#This Row],[Task Cost]]*AZ13+tblSOW7[[#This Row],[External Expenses/Revenues USD]]*BL13/tblSOW7[[#This Row],[Duration]]</f>
        <v>0</v>
      </c>
      <c r="AC13" s="74">
        <f>tblSOW7[[#This Row],[FTE Cost]]*tblSOW7[[#This Row],[% work on project]]*AO13/tblSOW7[[#This Row],[Duration]]+tblSOW7[[#This Row],[Task Cost]]*BA13+tblSOW7[[#This Row],[External Expenses/Revenues USD]]*BM13/tblSOW7[[#This Row],[Duration]]</f>
        <v>0</v>
      </c>
      <c r="AD13" s="74">
        <f>tblSOW7[[#This Row],[FTE Cost]]*tblSOW7[[#This Row],[% work on project]]*AP13/tblSOW7[[#This Row],[Duration]]+tblSOW7[[#This Row],[Task Cost]]*BB13+tblSOW7[[#This Row],[External Expenses/Revenues USD]]*BN13/tblSOW7[[#This Row],[Duration]]</f>
        <v>2848.1855236868641</v>
      </c>
      <c r="AE13" s="74">
        <f>tblSOW7[[#This Row],[FTE Cost]]*tblSOW7[[#This Row],[% work on project]]*AQ13/tblSOW7[[#This Row],[Duration]]+tblSOW7[[#This Row],[Task Cost]]*BC13+tblSOW7[[#This Row],[External Expenses/Revenues USD]]*BO13/tblSOW7[[#This Row],[Duration]]</f>
        <v>2848.1855236868641</v>
      </c>
      <c r="AF13" s="74">
        <f>tblSOW7[[#This Row],[FTE Cost]]*tblSOW7[[#This Row],[% work on project]]*AR13/tblSOW7[[#This Row],[Duration]]+tblSOW7[[#This Row],[Task Cost]]*BD13+tblSOW7[[#This Row],[External Expenses/Revenues USD]]*BP13/tblSOW7[[#This Row],[Duration]]</f>
        <v>2848.1855236868641</v>
      </c>
      <c r="AG13" s="74">
        <f>tblSOW7[[#This Row],[FTE Cost]]*tblSOW7[[#This Row],[% work on project]]*AS13/tblSOW7[[#This Row],[Duration]]+tblSOW7[[#This Row],[Task Cost]]*BE13+tblSOW7[[#This Row],[External Expenses/Revenues USD]]*BQ13/tblSOW7[[#This Row],[Duration]]</f>
        <v>0</v>
      </c>
      <c r="AH13" s="74">
        <f>tblSOW7[[#This Row],[FTE Cost]]*tblSOW7[[#This Row],[% work on project]]*AT13/tblSOW7[[#This Row],[Duration]]+tblSOW7[[#This Row],[Task Cost]]*BF13+tblSOW7[[#This Row],[External Expenses/Revenues USD]]*BR13/tblSOW7[[#This Row],[Duration]]</f>
        <v>0</v>
      </c>
      <c r="AI13" s="74">
        <f>tblSOW7[[#This Row],[FTE Cost]]*tblSOW7[[#This Row],[% work on project]]*AU13/tblSOW7[[#This Row],[Duration]]+tblSOW7[[#This Row],[Task Cost]]*BG13+tblSOW7[[#This Row],[External Expenses/Revenues USD]]*BS13/tblSOW7[[#This Row],[Duration]]</f>
        <v>0</v>
      </c>
      <c r="AJ13" s="74">
        <f>tblSOW7[[#This Row],[FTE Cost]]*tblSOW7[[#This Row],[% work on project]]*AV13/tblSOW7[[#This Row],[Duration]]+tblSOW7[[#This Row],[Task Cost]]*BH13+tblSOW7[[#This Row],[External Expenses/Revenues USD]]*BT13/tblSOW7[[#This Row],[Duration]]</f>
        <v>0</v>
      </c>
      <c r="AK13" s="74">
        <f t="shared" si="1"/>
        <v>0</v>
      </c>
      <c r="AL13" s="74">
        <f t="shared" si="1"/>
        <v>0</v>
      </c>
      <c r="AM13" s="74">
        <f t="shared" si="1"/>
        <v>0</v>
      </c>
      <c r="AN13" s="74">
        <f t="shared" si="1"/>
        <v>0</v>
      </c>
      <c r="AO13" s="74">
        <f t="shared" si="1"/>
        <v>0</v>
      </c>
      <c r="AP13" s="74">
        <f t="shared" si="1"/>
        <v>1</v>
      </c>
      <c r="AQ13" s="74">
        <f t="shared" si="1"/>
        <v>1</v>
      </c>
      <c r="AR13" s="74">
        <f t="shared" si="1"/>
        <v>1</v>
      </c>
      <c r="AS13" s="74">
        <f t="shared" si="1"/>
        <v>0</v>
      </c>
      <c r="AT13" s="74">
        <f t="shared" si="1"/>
        <v>0</v>
      </c>
      <c r="AU13" s="74">
        <f t="shared" si="1"/>
        <v>0</v>
      </c>
      <c r="AV13" s="74">
        <f t="shared" si="1"/>
        <v>0</v>
      </c>
      <c r="AW13" s="74">
        <f t="shared" si="2"/>
        <v>0</v>
      </c>
      <c r="AX13" s="74">
        <f t="shared" si="2"/>
        <v>0</v>
      </c>
      <c r="AY13" s="74">
        <f t="shared" si="2"/>
        <v>0</v>
      </c>
      <c r="AZ13" s="74">
        <f t="shared" si="2"/>
        <v>0</v>
      </c>
      <c r="BA13" s="74">
        <f t="shared" si="2"/>
        <v>0</v>
      </c>
      <c r="BB13" s="74">
        <f t="shared" si="2"/>
        <v>3.3333333333333335</v>
      </c>
      <c r="BC13" s="74">
        <f t="shared" si="2"/>
        <v>3.3333333333333335</v>
      </c>
      <c r="BD13" s="74">
        <f t="shared" si="2"/>
        <v>3.3333333333333335</v>
      </c>
      <c r="BE13" s="74">
        <f t="shared" si="2"/>
        <v>0</v>
      </c>
      <c r="BF13" s="74">
        <f t="shared" si="2"/>
        <v>0</v>
      </c>
      <c r="BG13" s="74">
        <f t="shared" si="2"/>
        <v>0</v>
      </c>
      <c r="BH13" s="74">
        <f t="shared" si="2"/>
        <v>0</v>
      </c>
      <c r="BI13" s="74">
        <f t="shared" si="3"/>
        <v>0</v>
      </c>
      <c r="BJ13" s="74">
        <f t="shared" si="3"/>
        <v>0</v>
      </c>
      <c r="BK13" s="74">
        <f t="shared" si="3"/>
        <v>0</v>
      </c>
      <c r="BL13" s="74">
        <f t="shared" si="3"/>
        <v>0</v>
      </c>
      <c r="BM13" s="74">
        <f t="shared" si="3"/>
        <v>0</v>
      </c>
      <c r="BN13" s="74">
        <f t="shared" si="3"/>
        <v>1</v>
      </c>
      <c r="BO13" s="74">
        <f t="shared" si="3"/>
        <v>1</v>
      </c>
      <c r="BP13" s="74">
        <f t="shared" si="3"/>
        <v>1</v>
      </c>
      <c r="BQ13" s="74">
        <f t="shared" si="3"/>
        <v>0</v>
      </c>
      <c r="BR13" s="74">
        <f t="shared" si="3"/>
        <v>0</v>
      </c>
      <c r="BS13" s="74">
        <f t="shared" si="3"/>
        <v>0</v>
      </c>
      <c r="BT13" s="74">
        <f t="shared" si="3"/>
        <v>0</v>
      </c>
      <c r="BU13" s="74">
        <f>SUM(tblSOW7[[#This Row],[P1]:[P12]])</f>
        <v>3</v>
      </c>
      <c r="BV13" s="74">
        <f xml:space="preserve"> IF(AND(ISNUMBER(SEARCH("-E000",tblSOW7[[#This Row],[Budget Item]])), ISERROR(VLOOKUP(tblSOW7[[#This Row],[Employee name ]],[29]Parameters!CP:DH,19,0))),VLOOKUP(tblSOW7[[#This Row],[Employee name ]],[29]Parameters!CP:DH,19,0),IFERROR(VLOOKUP(tblSOW7[[#This Row],[Employee name ]],[29]Parameters!CP:DH,19,0),0))</f>
        <v>0</v>
      </c>
      <c r="BW13" s="74">
        <f>IFERROR(VLOOKUP(K13,[29]Parameters!BN:BW,10,0),0)</f>
        <v>854.45565710605922</v>
      </c>
    </row>
    <row r="14" spans="1:154" s="75" customFormat="1">
      <c r="A14" s="67" t="str">
        <f>CONCATENATE(INDEX([29]Parameters!$U$1:$V$20,MATCH(C14,[29]Parameters!$V$1:$V$20,0),1),"/",VLOOKUP(D14,[29]Parameters!$CG$1:$CH$12,2,0),".",E14,".",H14,".",LEFT(J14,3),"-",LEFT(K14,4))</f>
        <v>B70/20.P999.405.950-T103</v>
      </c>
      <c r="B14" s="67" t="s">
        <v>123</v>
      </c>
      <c r="C14" s="67" t="s">
        <v>123</v>
      </c>
      <c r="D14" s="39" t="s">
        <v>95</v>
      </c>
      <c r="E14" s="40" t="str">
        <f>VLOOKUP(F14,[29]Parameters!P:T,4,0)</f>
        <v>P999</v>
      </c>
      <c r="F14" s="39" t="s">
        <v>92</v>
      </c>
      <c r="G14" s="67"/>
      <c r="H14" s="67">
        <f>INDEX([29]Parameters!$B:$C,MATCH(I14,[29]Parameters!$C:$C,0),1)</f>
        <v>405</v>
      </c>
      <c r="I14" s="68" t="s">
        <v>98</v>
      </c>
      <c r="J14" s="68" t="s">
        <v>94</v>
      </c>
      <c r="K14" s="68" t="s">
        <v>99</v>
      </c>
      <c r="L14" s="68" t="str">
        <f>IFERROR(VLOOKUP(tblSOW7[[#This Row],[Employee name ]],[29]Parameters!CP:CS,4,0),"")</f>
        <v/>
      </c>
      <c r="M14" s="69"/>
      <c r="N14" s="67" t="s">
        <v>138</v>
      </c>
      <c r="O14" s="76"/>
      <c r="P14" s="72">
        <v>45078</v>
      </c>
      <c r="Q14" s="72">
        <v>45169</v>
      </c>
      <c r="R14" s="67"/>
      <c r="S14" s="67">
        <f t="shared" si="0"/>
        <v>3</v>
      </c>
      <c r="T14" s="68"/>
      <c r="U14" s="68">
        <v>5</v>
      </c>
      <c r="V14" s="68"/>
      <c r="W14" s="68"/>
      <c r="X14" s="67">
        <f>SUM(tblSOW7[[#This Row],[Jan 2023 USD]:[Dec 2023 USD]])</f>
        <v>4272.2782855302958</v>
      </c>
      <c r="Y14" s="74">
        <f>tblSOW7[[#This Row],[FTE Cost]]*tblSOW7[[#This Row],[% work on project]]*AK14/tblSOW7[[#This Row],[Duration]]+tblSOW7[[#This Row],[Task Cost]]*AW14+tblSOW7[[#This Row],[External Expenses/Revenues USD]]*BI14/tblSOW7[[#This Row],[Duration]]</f>
        <v>0</v>
      </c>
      <c r="Z14" s="74">
        <f>tblSOW7[[#This Row],[FTE Cost]]*tblSOW7[[#This Row],[% work on project]]*AL14/tblSOW7[[#This Row],[Duration]]+tblSOW7[[#This Row],[Task Cost]]*AX14+tblSOW7[[#This Row],[External Expenses/Revenues USD]]*BJ14/tblSOW7[[#This Row],[Duration]]</f>
        <v>0</v>
      </c>
      <c r="AA14" s="74">
        <f>tblSOW7[[#This Row],[FTE Cost]]*tblSOW7[[#This Row],[% work on project]]*AM14/tblSOW7[[#This Row],[Duration]]+tblSOW7[[#This Row],[Task Cost]]*AY14+tblSOW7[[#This Row],[External Expenses/Revenues USD]]*BK14/tblSOW7[[#This Row],[Duration]]</f>
        <v>0</v>
      </c>
      <c r="AB14" s="74">
        <f>tblSOW7[[#This Row],[FTE Cost]]*tblSOW7[[#This Row],[% work on project]]*AN14/tblSOW7[[#This Row],[Duration]]+tblSOW7[[#This Row],[Task Cost]]*AZ14+tblSOW7[[#This Row],[External Expenses/Revenues USD]]*BL14/tblSOW7[[#This Row],[Duration]]</f>
        <v>0</v>
      </c>
      <c r="AC14" s="74">
        <f>tblSOW7[[#This Row],[FTE Cost]]*tblSOW7[[#This Row],[% work on project]]*AO14/tblSOW7[[#This Row],[Duration]]+tblSOW7[[#This Row],[Task Cost]]*BA14+tblSOW7[[#This Row],[External Expenses/Revenues USD]]*BM14/tblSOW7[[#This Row],[Duration]]</f>
        <v>0</v>
      </c>
      <c r="AD14" s="74">
        <f>tblSOW7[[#This Row],[FTE Cost]]*tblSOW7[[#This Row],[% work on project]]*AP14/tblSOW7[[#This Row],[Duration]]+tblSOW7[[#This Row],[Task Cost]]*BB14+tblSOW7[[#This Row],[External Expenses/Revenues USD]]*BN14/tblSOW7[[#This Row],[Duration]]</f>
        <v>1424.0927618434321</v>
      </c>
      <c r="AE14" s="74">
        <f>tblSOW7[[#This Row],[FTE Cost]]*tblSOW7[[#This Row],[% work on project]]*AQ14/tblSOW7[[#This Row],[Duration]]+tblSOW7[[#This Row],[Task Cost]]*BC14+tblSOW7[[#This Row],[External Expenses/Revenues USD]]*BO14/tblSOW7[[#This Row],[Duration]]</f>
        <v>1424.0927618434321</v>
      </c>
      <c r="AF14" s="74">
        <f>tblSOW7[[#This Row],[FTE Cost]]*tblSOW7[[#This Row],[% work on project]]*AR14/tblSOW7[[#This Row],[Duration]]+tblSOW7[[#This Row],[Task Cost]]*BD14+tblSOW7[[#This Row],[External Expenses/Revenues USD]]*BP14/tblSOW7[[#This Row],[Duration]]</f>
        <v>1424.0927618434321</v>
      </c>
      <c r="AG14" s="74">
        <f>tblSOW7[[#This Row],[FTE Cost]]*tblSOW7[[#This Row],[% work on project]]*AS14/tblSOW7[[#This Row],[Duration]]+tblSOW7[[#This Row],[Task Cost]]*BE14+tblSOW7[[#This Row],[External Expenses/Revenues USD]]*BQ14/tblSOW7[[#This Row],[Duration]]</f>
        <v>0</v>
      </c>
      <c r="AH14" s="74">
        <f>tblSOW7[[#This Row],[FTE Cost]]*tblSOW7[[#This Row],[% work on project]]*AT14/tblSOW7[[#This Row],[Duration]]+tblSOW7[[#This Row],[Task Cost]]*BF14+tblSOW7[[#This Row],[External Expenses/Revenues USD]]*BR14/tblSOW7[[#This Row],[Duration]]</f>
        <v>0</v>
      </c>
      <c r="AI14" s="74">
        <f>tblSOW7[[#This Row],[FTE Cost]]*tblSOW7[[#This Row],[% work on project]]*AU14/tblSOW7[[#This Row],[Duration]]+tblSOW7[[#This Row],[Task Cost]]*BG14+tblSOW7[[#This Row],[External Expenses/Revenues USD]]*BS14/tblSOW7[[#This Row],[Duration]]</f>
        <v>0</v>
      </c>
      <c r="AJ14" s="74">
        <f>tblSOW7[[#This Row],[FTE Cost]]*tblSOW7[[#This Row],[% work on project]]*AV14/tblSOW7[[#This Row],[Duration]]+tblSOW7[[#This Row],[Task Cost]]*BH14+tblSOW7[[#This Row],[External Expenses/Revenues USD]]*BT14/tblSOW7[[#This Row],[Duration]]</f>
        <v>0</v>
      </c>
      <c r="AK14" s="74">
        <f t="shared" si="1"/>
        <v>0</v>
      </c>
      <c r="AL14" s="74">
        <f t="shared" si="1"/>
        <v>0</v>
      </c>
      <c r="AM14" s="74">
        <f t="shared" si="1"/>
        <v>0</v>
      </c>
      <c r="AN14" s="74">
        <f t="shared" si="1"/>
        <v>0</v>
      </c>
      <c r="AO14" s="74">
        <f t="shared" si="1"/>
        <v>0</v>
      </c>
      <c r="AP14" s="74">
        <f t="shared" si="1"/>
        <v>1</v>
      </c>
      <c r="AQ14" s="74">
        <f t="shared" si="1"/>
        <v>1</v>
      </c>
      <c r="AR14" s="74">
        <f t="shared" si="1"/>
        <v>1</v>
      </c>
      <c r="AS14" s="74">
        <f t="shared" si="1"/>
        <v>0</v>
      </c>
      <c r="AT14" s="74">
        <f t="shared" si="1"/>
        <v>0</v>
      </c>
      <c r="AU14" s="74">
        <f t="shared" si="1"/>
        <v>0</v>
      </c>
      <c r="AV14" s="74">
        <f t="shared" si="1"/>
        <v>0</v>
      </c>
      <c r="AW14" s="74">
        <f t="shared" si="2"/>
        <v>0</v>
      </c>
      <c r="AX14" s="74">
        <f t="shared" si="2"/>
        <v>0</v>
      </c>
      <c r="AY14" s="74">
        <f t="shared" si="2"/>
        <v>0</v>
      </c>
      <c r="AZ14" s="74">
        <f t="shared" si="2"/>
        <v>0</v>
      </c>
      <c r="BA14" s="74">
        <f t="shared" si="2"/>
        <v>0</v>
      </c>
      <c r="BB14" s="74">
        <f t="shared" si="2"/>
        <v>1.6666666666666667</v>
      </c>
      <c r="BC14" s="74">
        <f t="shared" si="2"/>
        <v>1.6666666666666667</v>
      </c>
      <c r="BD14" s="74">
        <f t="shared" si="2"/>
        <v>1.6666666666666667</v>
      </c>
      <c r="BE14" s="74">
        <f t="shared" si="2"/>
        <v>0</v>
      </c>
      <c r="BF14" s="74">
        <f t="shared" si="2"/>
        <v>0</v>
      </c>
      <c r="BG14" s="74">
        <f t="shared" si="2"/>
        <v>0</v>
      </c>
      <c r="BH14" s="74">
        <f t="shared" si="2"/>
        <v>0</v>
      </c>
      <c r="BI14" s="74">
        <f t="shared" si="3"/>
        <v>0</v>
      </c>
      <c r="BJ14" s="74">
        <f t="shared" si="3"/>
        <v>0</v>
      </c>
      <c r="BK14" s="74">
        <f t="shared" si="3"/>
        <v>0</v>
      </c>
      <c r="BL14" s="74">
        <f t="shared" si="3"/>
        <v>0</v>
      </c>
      <c r="BM14" s="74">
        <f t="shared" si="3"/>
        <v>0</v>
      </c>
      <c r="BN14" s="74">
        <f t="shared" si="3"/>
        <v>1</v>
      </c>
      <c r="BO14" s="74">
        <f t="shared" si="3"/>
        <v>1</v>
      </c>
      <c r="BP14" s="74">
        <f t="shared" si="3"/>
        <v>1</v>
      </c>
      <c r="BQ14" s="74">
        <f t="shared" si="3"/>
        <v>0</v>
      </c>
      <c r="BR14" s="74">
        <f t="shared" si="3"/>
        <v>0</v>
      </c>
      <c r="BS14" s="74">
        <f t="shared" si="3"/>
        <v>0</v>
      </c>
      <c r="BT14" s="74">
        <f t="shared" si="3"/>
        <v>0</v>
      </c>
      <c r="BU14" s="74">
        <f>SUM(tblSOW7[[#This Row],[P1]:[P12]])</f>
        <v>3</v>
      </c>
      <c r="BV14" s="74">
        <f xml:space="preserve"> IF(AND(ISNUMBER(SEARCH("-E000",tblSOW7[[#This Row],[Budget Item]])), ISERROR(VLOOKUP(tblSOW7[[#This Row],[Employee name ]],[29]Parameters!CP:DH,19,0))),VLOOKUP(tblSOW7[[#This Row],[Employee name ]],[29]Parameters!CP:DH,19,0),IFERROR(VLOOKUP(tblSOW7[[#This Row],[Employee name ]],[29]Parameters!CP:DH,19,0),0))</f>
        <v>0</v>
      </c>
      <c r="BW14" s="74">
        <f>IFERROR(VLOOKUP(K14,[29]Parameters!BN:BW,10,0),0)</f>
        <v>854.45565710605922</v>
      </c>
    </row>
    <row r="15" spans="1:154" s="75" customFormat="1">
      <c r="A15" s="67" t="str">
        <f>CONCATENATE(INDEX([29]Parameters!$U$1:$V$20,MATCH(C15,[29]Parameters!$V$1:$V$20,0),1),"/",VLOOKUP(D15,[29]Parameters!$CG$1:$CH$12,2,0),".",E15,".",H15,".",LEFT(J15,3),"-",LEFT(K15,4))</f>
        <v>B70/20.P999.427.950-T109</v>
      </c>
      <c r="B15" s="67" t="s">
        <v>123</v>
      </c>
      <c r="C15" s="67" t="s">
        <v>123</v>
      </c>
      <c r="D15" s="39" t="s">
        <v>95</v>
      </c>
      <c r="E15" s="40" t="str">
        <f>VLOOKUP(F15,[29]Parameters!P:T,4,0)</f>
        <v>P999</v>
      </c>
      <c r="F15" s="39" t="s">
        <v>92</v>
      </c>
      <c r="G15" s="67"/>
      <c r="H15" s="67">
        <f>INDEX([29]Parameters!$B:$C,MATCH(I15,[29]Parameters!$C:$C,0),1)</f>
        <v>427</v>
      </c>
      <c r="I15" s="68" t="s">
        <v>104</v>
      </c>
      <c r="J15" s="68" t="s">
        <v>94</v>
      </c>
      <c r="K15" s="68" t="s">
        <v>105</v>
      </c>
      <c r="L15" s="68" t="str">
        <f>IFERROR(VLOOKUP(tblSOW7[[#This Row],[Employee name ]],[29]Parameters!CP:CS,4,0),"")</f>
        <v/>
      </c>
      <c r="M15" s="69"/>
      <c r="N15" s="67" t="s">
        <v>139</v>
      </c>
      <c r="O15" s="76"/>
      <c r="P15" s="72">
        <v>45078</v>
      </c>
      <c r="Q15" s="72">
        <v>45169</v>
      </c>
      <c r="R15" s="67"/>
      <c r="S15" s="67">
        <f t="shared" si="0"/>
        <v>3</v>
      </c>
      <c r="T15" s="68"/>
      <c r="U15" s="68">
        <v>2</v>
      </c>
      <c r="V15" s="68"/>
      <c r="W15" s="68"/>
      <c r="X15" s="67">
        <f>SUM(tblSOW7[[#This Row],[Jan 2023 USD]:[Dec 2023 USD]])</f>
        <v>1654.8864134118219</v>
      </c>
      <c r="Y15" s="74">
        <f>tblSOW7[[#This Row],[FTE Cost]]*tblSOW7[[#This Row],[% work on project]]*AK15/tblSOW7[[#This Row],[Duration]]+tblSOW7[[#This Row],[Task Cost]]*AW15+tblSOW7[[#This Row],[External Expenses/Revenues USD]]*BI15/tblSOW7[[#This Row],[Duration]]</f>
        <v>0</v>
      </c>
      <c r="Z15" s="74">
        <f>tblSOW7[[#This Row],[FTE Cost]]*tblSOW7[[#This Row],[% work on project]]*AL15/tblSOW7[[#This Row],[Duration]]+tblSOW7[[#This Row],[Task Cost]]*AX15+tblSOW7[[#This Row],[External Expenses/Revenues USD]]*BJ15/tblSOW7[[#This Row],[Duration]]</f>
        <v>0</v>
      </c>
      <c r="AA15" s="74">
        <f>tblSOW7[[#This Row],[FTE Cost]]*tblSOW7[[#This Row],[% work on project]]*AM15/tblSOW7[[#This Row],[Duration]]+tblSOW7[[#This Row],[Task Cost]]*AY15+tblSOW7[[#This Row],[External Expenses/Revenues USD]]*BK15/tblSOW7[[#This Row],[Duration]]</f>
        <v>0</v>
      </c>
      <c r="AB15" s="74">
        <f>tblSOW7[[#This Row],[FTE Cost]]*tblSOW7[[#This Row],[% work on project]]*AN15/tblSOW7[[#This Row],[Duration]]+tblSOW7[[#This Row],[Task Cost]]*AZ15+tblSOW7[[#This Row],[External Expenses/Revenues USD]]*BL15/tblSOW7[[#This Row],[Duration]]</f>
        <v>0</v>
      </c>
      <c r="AC15" s="74">
        <f>tblSOW7[[#This Row],[FTE Cost]]*tblSOW7[[#This Row],[% work on project]]*AO15/tblSOW7[[#This Row],[Duration]]+tblSOW7[[#This Row],[Task Cost]]*BA15+tblSOW7[[#This Row],[External Expenses/Revenues USD]]*BM15/tblSOW7[[#This Row],[Duration]]</f>
        <v>0</v>
      </c>
      <c r="AD15" s="74">
        <f>tblSOW7[[#This Row],[FTE Cost]]*tblSOW7[[#This Row],[% work on project]]*AP15/tblSOW7[[#This Row],[Duration]]+tblSOW7[[#This Row],[Task Cost]]*BB15+tblSOW7[[#This Row],[External Expenses/Revenues USD]]*BN15/tblSOW7[[#This Row],[Duration]]</f>
        <v>551.62880447060729</v>
      </c>
      <c r="AE15" s="74">
        <f>tblSOW7[[#This Row],[FTE Cost]]*tblSOW7[[#This Row],[% work on project]]*AQ15/tblSOW7[[#This Row],[Duration]]+tblSOW7[[#This Row],[Task Cost]]*BC15+tblSOW7[[#This Row],[External Expenses/Revenues USD]]*BO15/tblSOW7[[#This Row],[Duration]]</f>
        <v>551.62880447060729</v>
      </c>
      <c r="AF15" s="74">
        <f>tblSOW7[[#This Row],[FTE Cost]]*tblSOW7[[#This Row],[% work on project]]*AR15/tblSOW7[[#This Row],[Duration]]+tblSOW7[[#This Row],[Task Cost]]*BD15+tblSOW7[[#This Row],[External Expenses/Revenues USD]]*BP15/tblSOW7[[#This Row],[Duration]]</f>
        <v>551.62880447060729</v>
      </c>
      <c r="AG15" s="74">
        <f>tblSOW7[[#This Row],[FTE Cost]]*tblSOW7[[#This Row],[% work on project]]*AS15/tblSOW7[[#This Row],[Duration]]+tblSOW7[[#This Row],[Task Cost]]*BE15+tblSOW7[[#This Row],[External Expenses/Revenues USD]]*BQ15/tblSOW7[[#This Row],[Duration]]</f>
        <v>0</v>
      </c>
      <c r="AH15" s="74">
        <f>tblSOW7[[#This Row],[FTE Cost]]*tblSOW7[[#This Row],[% work on project]]*AT15/tblSOW7[[#This Row],[Duration]]+tblSOW7[[#This Row],[Task Cost]]*BF15+tblSOW7[[#This Row],[External Expenses/Revenues USD]]*BR15/tblSOW7[[#This Row],[Duration]]</f>
        <v>0</v>
      </c>
      <c r="AI15" s="74">
        <f>tblSOW7[[#This Row],[FTE Cost]]*tblSOW7[[#This Row],[% work on project]]*AU15/tblSOW7[[#This Row],[Duration]]+tblSOW7[[#This Row],[Task Cost]]*BG15+tblSOW7[[#This Row],[External Expenses/Revenues USD]]*BS15/tblSOW7[[#This Row],[Duration]]</f>
        <v>0</v>
      </c>
      <c r="AJ15" s="74">
        <f>tblSOW7[[#This Row],[FTE Cost]]*tblSOW7[[#This Row],[% work on project]]*AV15/tblSOW7[[#This Row],[Duration]]+tblSOW7[[#This Row],[Task Cost]]*BH15+tblSOW7[[#This Row],[External Expenses/Revenues USD]]*BT15/tblSOW7[[#This Row],[Duration]]</f>
        <v>0</v>
      </c>
      <c r="AK15" s="74">
        <f t="shared" si="1"/>
        <v>0</v>
      </c>
      <c r="AL15" s="74">
        <f t="shared" si="1"/>
        <v>0</v>
      </c>
      <c r="AM15" s="74">
        <f t="shared" si="1"/>
        <v>0</v>
      </c>
      <c r="AN15" s="74">
        <f t="shared" si="1"/>
        <v>0</v>
      </c>
      <c r="AO15" s="74">
        <f t="shared" si="1"/>
        <v>0</v>
      </c>
      <c r="AP15" s="74">
        <f t="shared" si="1"/>
        <v>1</v>
      </c>
      <c r="AQ15" s="74">
        <f t="shared" si="1"/>
        <v>1</v>
      </c>
      <c r="AR15" s="74">
        <f t="shared" si="1"/>
        <v>1</v>
      </c>
      <c r="AS15" s="74">
        <f t="shared" si="1"/>
        <v>0</v>
      </c>
      <c r="AT15" s="74">
        <f t="shared" si="1"/>
        <v>0</v>
      </c>
      <c r="AU15" s="74">
        <f t="shared" si="1"/>
        <v>0</v>
      </c>
      <c r="AV15" s="74">
        <f t="shared" si="1"/>
        <v>0</v>
      </c>
      <c r="AW15" s="74">
        <f t="shared" si="2"/>
        <v>0</v>
      </c>
      <c r="AX15" s="74">
        <f t="shared" si="2"/>
        <v>0</v>
      </c>
      <c r="AY15" s="74">
        <f t="shared" si="2"/>
        <v>0</v>
      </c>
      <c r="AZ15" s="74">
        <f t="shared" si="2"/>
        <v>0</v>
      </c>
      <c r="BA15" s="74">
        <f t="shared" si="2"/>
        <v>0</v>
      </c>
      <c r="BB15" s="74">
        <f t="shared" si="2"/>
        <v>0.66666666666666663</v>
      </c>
      <c r="BC15" s="74">
        <f t="shared" si="2"/>
        <v>0.66666666666666663</v>
      </c>
      <c r="BD15" s="74">
        <f t="shared" si="2"/>
        <v>0.66666666666666663</v>
      </c>
      <c r="BE15" s="74">
        <f t="shared" si="2"/>
        <v>0</v>
      </c>
      <c r="BF15" s="74">
        <f t="shared" si="2"/>
        <v>0</v>
      </c>
      <c r="BG15" s="74">
        <f t="shared" si="2"/>
        <v>0</v>
      </c>
      <c r="BH15" s="74">
        <f t="shared" si="2"/>
        <v>0</v>
      </c>
      <c r="BI15" s="74">
        <f t="shared" si="3"/>
        <v>0</v>
      </c>
      <c r="BJ15" s="74">
        <f t="shared" si="3"/>
        <v>0</v>
      </c>
      <c r="BK15" s="74">
        <f t="shared" si="3"/>
        <v>0</v>
      </c>
      <c r="BL15" s="74">
        <f t="shared" si="3"/>
        <v>0</v>
      </c>
      <c r="BM15" s="74">
        <f t="shared" si="3"/>
        <v>0</v>
      </c>
      <c r="BN15" s="74">
        <f t="shared" si="3"/>
        <v>1</v>
      </c>
      <c r="BO15" s="74">
        <f t="shared" si="3"/>
        <v>1</v>
      </c>
      <c r="BP15" s="74">
        <f t="shared" si="3"/>
        <v>1</v>
      </c>
      <c r="BQ15" s="74">
        <f t="shared" si="3"/>
        <v>0</v>
      </c>
      <c r="BR15" s="74">
        <f t="shared" si="3"/>
        <v>0</v>
      </c>
      <c r="BS15" s="74">
        <f t="shared" si="3"/>
        <v>0</v>
      </c>
      <c r="BT15" s="74">
        <f t="shared" si="3"/>
        <v>0</v>
      </c>
      <c r="BU15" s="74">
        <f>SUM(tblSOW7[[#This Row],[P1]:[P12]])</f>
        <v>3</v>
      </c>
      <c r="BV15" s="74">
        <f xml:space="preserve"> IF(AND(ISNUMBER(SEARCH("-E000",tblSOW7[[#This Row],[Budget Item]])), ISERROR(VLOOKUP(tblSOW7[[#This Row],[Employee name ]],[29]Parameters!CP:DH,19,0))),VLOOKUP(tblSOW7[[#This Row],[Employee name ]],[29]Parameters!CP:DH,19,0),IFERROR(VLOOKUP(tblSOW7[[#This Row],[Employee name ]],[29]Parameters!CP:DH,19,0),0))</f>
        <v>0</v>
      </c>
      <c r="BW15" s="74">
        <f>IFERROR(VLOOKUP(K15,[29]Parameters!BN:BW,10,0),0)</f>
        <v>827.44320670591105</v>
      </c>
    </row>
    <row r="16" spans="1:154" s="75" customFormat="1">
      <c r="A16" s="67" t="str">
        <f>CONCATENATE(INDEX([29]Parameters!$U$1:$V$20,MATCH(C16,[29]Parameters!$V$1:$V$20,0),1),"/",VLOOKUP(D16,[29]Parameters!$CG$1:$CH$12,2,0),".",E16,".",H16,".",LEFT(J16,3),"-",LEFT(K16,4))</f>
        <v>B70/20.P999.405.950-T103</v>
      </c>
      <c r="B16" s="67" t="s">
        <v>123</v>
      </c>
      <c r="C16" s="67" t="s">
        <v>123</v>
      </c>
      <c r="D16" s="39" t="s">
        <v>95</v>
      </c>
      <c r="E16" s="40" t="str">
        <f>VLOOKUP(F16,[29]Parameters!P:T,4,0)</f>
        <v>P999</v>
      </c>
      <c r="F16" s="39" t="s">
        <v>92</v>
      </c>
      <c r="G16" s="67"/>
      <c r="H16" s="67">
        <f>INDEX([29]Parameters!$B:$C,MATCH(I16,[29]Parameters!$C:$C,0),1)</f>
        <v>405</v>
      </c>
      <c r="I16" s="68" t="s">
        <v>98</v>
      </c>
      <c r="J16" s="68" t="s">
        <v>94</v>
      </c>
      <c r="K16" s="68" t="s">
        <v>99</v>
      </c>
      <c r="L16" s="68" t="str">
        <f>IFERROR(VLOOKUP(tblSOW7[[#This Row],[Employee name ]],[29]Parameters!CP:CS,4,0),"")</f>
        <v/>
      </c>
      <c r="M16" s="69"/>
      <c r="N16" s="67" t="s">
        <v>140</v>
      </c>
      <c r="O16" s="76"/>
      <c r="P16" s="72">
        <v>45139</v>
      </c>
      <c r="Q16" s="72">
        <v>45230</v>
      </c>
      <c r="R16" s="67"/>
      <c r="S16" s="67">
        <f t="shared" si="0"/>
        <v>3</v>
      </c>
      <c r="T16" s="68"/>
      <c r="U16" s="68">
        <v>7</v>
      </c>
      <c r="V16" s="68"/>
      <c r="W16" s="68"/>
      <c r="X16" s="67">
        <f>SUM(tblSOW7[[#This Row],[Jan 2023 USD]:[Dec 2023 USD]])</f>
        <v>5981.1895997424153</v>
      </c>
      <c r="Y16" s="74">
        <f>tblSOW7[[#This Row],[FTE Cost]]*tblSOW7[[#This Row],[% work on project]]*AK16/tblSOW7[[#This Row],[Duration]]+tblSOW7[[#This Row],[Task Cost]]*AW16+tblSOW7[[#This Row],[External Expenses/Revenues USD]]*BI16/tblSOW7[[#This Row],[Duration]]</f>
        <v>0</v>
      </c>
      <c r="Z16" s="74">
        <f>tblSOW7[[#This Row],[FTE Cost]]*tblSOW7[[#This Row],[% work on project]]*AL16/tblSOW7[[#This Row],[Duration]]+tblSOW7[[#This Row],[Task Cost]]*AX16+tblSOW7[[#This Row],[External Expenses/Revenues USD]]*BJ16/tblSOW7[[#This Row],[Duration]]</f>
        <v>0</v>
      </c>
      <c r="AA16" s="74">
        <f>tblSOW7[[#This Row],[FTE Cost]]*tblSOW7[[#This Row],[% work on project]]*AM16/tblSOW7[[#This Row],[Duration]]+tblSOW7[[#This Row],[Task Cost]]*AY16+tblSOW7[[#This Row],[External Expenses/Revenues USD]]*BK16/tblSOW7[[#This Row],[Duration]]</f>
        <v>0</v>
      </c>
      <c r="AB16" s="74">
        <f>tblSOW7[[#This Row],[FTE Cost]]*tblSOW7[[#This Row],[% work on project]]*AN16/tblSOW7[[#This Row],[Duration]]+tblSOW7[[#This Row],[Task Cost]]*AZ16+tblSOW7[[#This Row],[External Expenses/Revenues USD]]*BL16/tblSOW7[[#This Row],[Duration]]</f>
        <v>0</v>
      </c>
      <c r="AC16" s="74">
        <f>tblSOW7[[#This Row],[FTE Cost]]*tblSOW7[[#This Row],[% work on project]]*AO16/tblSOW7[[#This Row],[Duration]]+tblSOW7[[#This Row],[Task Cost]]*BA16+tblSOW7[[#This Row],[External Expenses/Revenues USD]]*BM16/tblSOW7[[#This Row],[Duration]]</f>
        <v>0</v>
      </c>
      <c r="AD16" s="74">
        <f>tblSOW7[[#This Row],[FTE Cost]]*tblSOW7[[#This Row],[% work on project]]*AP16/tblSOW7[[#This Row],[Duration]]+tblSOW7[[#This Row],[Task Cost]]*BB16+tblSOW7[[#This Row],[External Expenses/Revenues USD]]*BN16/tblSOW7[[#This Row],[Duration]]</f>
        <v>0</v>
      </c>
      <c r="AE16" s="74">
        <f>tblSOW7[[#This Row],[FTE Cost]]*tblSOW7[[#This Row],[% work on project]]*AQ16/tblSOW7[[#This Row],[Duration]]+tblSOW7[[#This Row],[Task Cost]]*BC16+tblSOW7[[#This Row],[External Expenses/Revenues USD]]*BO16/tblSOW7[[#This Row],[Duration]]</f>
        <v>0</v>
      </c>
      <c r="AF16" s="74">
        <f>tblSOW7[[#This Row],[FTE Cost]]*tblSOW7[[#This Row],[% work on project]]*AR16/tblSOW7[[#This Row],[Duration]]+tblSOW7[[#This Row],[Task Cost]]*BD16+tblSOW7[[#This Row],[External Expenses/Revenues USD]]*BP16/tblSOW7[[#This Row],[Duration]]</f>
        <v>1993.729866580805</v>
      </c>
      <c r="AG16" s="74">
        <f>tblSOW7[[#This Row],[FTE Cost]]*tblSOW7[[#This Row],[% work on project]]*AS16/tblSOW7[[#This Row],[Duration]]+tblSOW7[[#This Row],[Task Cost]]*BE16+tblSOW7[[#This Row],[External Expenses/Revenues USD]]*BQ16/tblSOW7[[#This Row],[Duration]]</f>
        <v>1993.729866580805</v>
      </c>
      <c r="AH16" s="74">
        <f>tblSOW7[[#This Row],[FTE Cost]]*tblSOW7[[#This Row],[% work on project]]*AT16/tblSOW7[[#This Row],[Duration]]+tblSOW7[[#This Row],[Task Cost]]*BF16+tblSOW7[[#This Row],[External Expenses/Revenues USD]]*BR16/tblSOW7[[#This Row],[Duration]]</f>
        <v>1993.729866580805</v>
      </c>
      <c r="AI16" s="74">
        <f>tblSOW7[[#This Row],[FTE Cost]]*tblSOW7[[#This Row],[% work on project]]*AU16/tblSOW7[[#This Row],[Duration]]+tblSOW7[[#This Row],[Task Cost]]*BG16+tblSOW7[[#This Row],[External Expenses/Revenues USD]]*BS16/tblSOW7[[#This Row],[Duration]]</f>
        <v>0</v>
      </c>
      <c r="AJ16" s="74">
        <f>tblSOW7[[#This Row],[FTE Cost]]*tblSOW7[[#This Row],[% work on project]]*AV16/tblSOW7[[#This Row],[Duration]]+tblSOW7[[#This Row],[Task Cost]]*BH16+tblSOW7[[#This Row],[External Expenses/Revenues USD]]*BT16/tblSOW7[[#This Row],[Duration]]</f>
        <v>0</v>
      </c>
      <c r="AK16" s="74">
        <f t="shared" si="1"/>
        <v>0</v>
      </c>
      <c r="AL16" s="74">
        <f t="shared" si="1"/>
        <v>0</v>
      </c>
      <c r="AM16" s="74">
        <f t="shared" si="1"/>
        <v>0</v>
      </c>
      <c r="AN16" s="74">
        <f t="shared" si="1"/>
        <v>0</v>
      </c>
      <c r="AO16" s="74">
        <f t="shared" si="1"/>
        <v>0</v>
      </c>
      <c r="AP16" s="74">
        <f t="shared" si="1"/>
        <v>0</v>
      </c>
      <c r="AQ16" s="74">
        <f t="shared" si="1"/>
        <v>0</v>
      </c>
      <c r="AR16" s="74">
        <f t="shared" si="1"/>
        <v>1</v>
      </c>
      <c r="AS16" s="74">
        <f t="shared" si="1"/>
        <v>1</v>
      </c>
      <c r="AT16" s="74">
        <f t="shared" si="1"/>
        <v>1</v>
      </c>
      <c r="AU16" s="74">
        <f t="shared" si="1"/>
        <v>0</v>
      </c>
      <c r="AV16" s="74">
        <f t="shared" si="1"/>
        <v>0</v>
      </c>
      <c r="AW16" s="74">
        <f t="shared" si="2"/>
        <v>0</v>
      </c>
      <c r="AX16" s="74">
        <f t="shared" si="2"/>
        <v>0</v>
      </c>
      <c r="AY16" s="74">
        <f t="shared" si="2"/>
        <v>0</v>
      </c>
      <c r="AZ16" s="74">
        <f t="shared" si="2"/>
        <v>0</v>
      </c>
      <c r="BA16" s="74">
        <f t="shared" si="2"/>
        <v>0</v>
      </c>
      <c r="BB16" s="74">
        <f t="shared" si="2"/>
        <v>0</v>
      </c>
      <c r="BC16" s="74">
        <f t="shared" si="2"/>
        <v>0</v>
      </c>
      <c r="BD16" s="74">
        <f t="shared" si="2"/>
        <v>2.3333333333333335</v>
      </c>
      <c r="BE16" s="74">
        <f t="shared" si="2"/>
        <v>2.3333333333333335</v>
      </c>
      <c r="BF16" s="74">
        <f t="shared" si="2"/>
        <v>2.3333333333333335</v>
      </c>
      <c r="BG16" s="74">
        <f t="shared" si="2"/>
        <v>0</v>
      </c>
      <c r="BH16" s="74">
        <f t="shared" si="2"/>
        <v>0</v>
      </c>
      <c r="BI16" s="74">
        <f t="shared" si="3"/>
        <v>0</v>
      </c>
      <c r="BJ16" s="74">
        <f t="shared" si="3"/>
        <v>0</v>
      </c>
      <c r="BK16" s="74">
        <f t="shared" si="3"/>
        <v>0</v>
      </c>
      <c r="BL16" s="74">
        <f t="shared" si="3"/>
        <v>0</v>
      </c>
      <c r="BM16" s="74">
        <f t="shared" si="3"/>
        <v>0</v>
      </c>
      <c r="BN16" s="74">
        <f t="shared" si="3"/>
        <v>0</v>
      </c>
      <c r="BO16" s="74">
        <f t="shared" si="3"/>
        <v>0</v>
      </c>
      <c r="BP16" s="74">
        <f t="shared" si="3"/>
        <v>1</v>
      </c>
      <c r="BQ16" s="74">
        <f t="shared" si="3"/>
        <v>1</v>
      </c>
      <c r="BR16" s="74">
        <f t="shared" si="3"/>
        <v>1</v>
      </c>
      <c r="BS16" s="74">
        <f t="shared" si="3"/>
        <v>0</v>
      </c>
      <c r="BT16" s="74">
        <f t="shared" si="3"/>
        <v>0</v>
      </c>
      <c r="BU16" s="74">
        <f>SUM(tblSOW7[[#This Row],[P1]:[P12]])</f>
        <v>3</v>
      </c>
      <c r="BV16" s="74">
        <f xml:space="preserve"> IF(AND(ISNUMBER(SEARCH("-E000",tblSOW7[[#This Row],[Budget Item]])), ISERROR(VLOOKUP(tblSOW7[[#This Row],[Employee name ]],[29]Parameters!CP:DH,19,0))),VLOOKUP(tblSOW7[[#This Row],[Employee name ]],[29]Parameters!CP:DH,19,0),IFERROR(VLOOKUP(tblSOW7[[#This Row],[Employee name ]],[29]Parameters!CP:DH,19,0),0))</f>
        <v>0</v>
      </c>
      <c r="BW16" s="74">
        <f>IFERROR(VLOOKUP(K16,[29]Parameters!BN:BW,10,0),0)</f>
        <v>854.45565710605922</v>
      </c>
    </row>
    <row r="17" spans="1:75" s="75" customFormat="1">
      <c r="A17" s="67" t="str">
        <f>CONCATENATE(INDEX([29]Parameters!$U$1:$V$20,MATCH(C17,[29]Parameters!$V$1:$V$20,0),1),"/",VLOOKUP(D17,[29]Parameters!$CG$1:$CH$12,2,0),".",E17,".",H17,".",LEFT(J17,3),"-",LEFT(K17,4))</f>
        <v>B70/20.P999.405.950-T103</v>
      </c>
      <c r="B17" s="67" t="s">
        <v>123</v>
      </c>
      <c r="C17" s="67" t="s">
        <v>123</v>
      </c>
      <c r="D17" s="39" t="s">
        <v>95</v>
      </c>
      <c r="E17" s="40" t="str">
        <f>VLOOKUP(F17,[29]Parameters!P:T,4,0)</f>
        <v>P999</v>
      </c>
      <c r="F17" s="39" t="s">
        <v>92</v>
      </c>
      <c r="G17" s="67"/>
      <c r="H17" s="67">
        <f>INDEX([29]Parameters!$B:$C,MATCH(I17,[29]Parameters!$C:$C,0),1)</f>
        <v>405</v>
      </c>
      <c r="I17" s="68" t="s">
        <v>98</v>
      </c>
      <c r="J17" s="68" t="s">
        <v>94</v>
      </c>
      <c r="K17" s="68" t="s">
        <v>99</v>
      </c>
      <c r="L17" s="68" t="str">
        <f>IFERROR(VLOOKUP(tblSOW7[[#This Row],[Employee name ]],[29]Parameters!CP:CS,4,0),"")</f>
        <v/>
      </c>
      <c r="M17" s="69"/>
      <c r="N17" s="67" t="s">
        <v>141</v>
      </c>
      <c r="O17" s="76"/>
      <c r="P17" s="72">
        <v>45139</v>
      </c>
      <c r="Q17" s="72">
        <v>45230</v>
      </c>
      <c r="R17" s="67"/>
      <c r="S17" s="67">
        <f t="shared" si="0"/>
        <v>3</v>
      </c>
      <c r="T17" s="68"/>
      <c r="U17" s="68">
        <v>10</v>
      </c>
      <c r="V17" s="68"/>
      <c r="W17" s="68"/>
      <c r="X17" s="67">
        <f>SUM(tblSOW7[[#This Row],[Jan 2023 USD]:[Dec 2023 USD]])</f>
        <v>8544.5565710605915</v>
      </c>
      <c r="Y17" s="74">
        <f>tblSOW7[[#This Row],[FTE Cost]]*tblSOW7[[#This Row],[% work on project]]*AK17/tblSOW7[[#This Row],[Duration]]+tblSOW7[[#This Row],[Task Cost]]*AW17+tblSOW7[[#This Row],[External Expenses/Revenues USD]]*BI17/tblSOW7[[#This Row],[Duration]]</f>
        <v>0</v>
      </c>
      <c r="Z17" s="74">
        <f>tblSOW7[[#This Row],[FTE Cost]]*tblSOW7[[#This Row],[% work on project]]*AL17/tblSOW7[[#This Row],[Duration]]+tblSOW7[[#This Row],[Task Cost]]*AX17+tblSOW7[[#This Row],[External Expenses/Revenues USD]]*BJ17/tblSOW7[[#This Row],[Duration]]</f>
        <v>0</v>
      </c>
      <c r="AA17" s="74">
        <f>tblSOW7[[#This Row],[FTE Cost]]*tblSOW7[[#This Row],[% work on project]]*AM17/tblSOW7[[#This Row],[Duration]]+tblSOW7[[#This Row],[Task Cost]]*AY17+tblSOW7[[#This Row],[External Expenses/Revenues USD]]*BK17/tblSOW7[[#This Row],[Duration]]</f>
        <v>0</v>
      </c>
      <c r="AB17" s="74">
        <f>tblSOW7[[#This Row],[FTE Cost]]*tblSOW7[[#This Row],[% work on project]]*AN17/tblSOW7[[#This Row],[Duration]]+tblSOW7[[#This Row],[Task Cost]]*AZ17+tblSOW7[[#This Row],[External Expenses/Revenues USD]]*BL17/tblSOW7[[#This Row],[Duration]]</f>
        <v>0</v>
      </c>
      <c r="AC17" s="74">
        <f>tblSOW7[[#This Row],[FTE Cost]]*tblSOW7[[#This Row],[% work on project]]*AO17/tblSOW7[[#This Row],[Duration]]+tblSOW7[[#This Row],[Task Cost]]*BA17+tblSOW7[[#This Row],[External Expenses/Revenues USD]]*BM17/tblSOW7[[#This Row],[Duration]]</f>
        <v>0</v>
      </c>
      <c r="AD17" s="74">
        <f>tblSOW7[[#This Row],[FTE Cost]]*tblSOW7[[#This Row],[% work on project]]*AP17/tblSOW7[[#This Row],[Duration]]+tblSOW7[[#This Row],[Task Cost]]*BB17+tblSOW7[[#This Row],[External Expenses/Revenues USD]]*BN17/tblSOW7[[#This Row],[Duration]]</f>
        <v>0</v>
      </c>
      <c r="AE17" s="74">
        <f>tblSOW7[[#This Row],[FTE Cost]]*tblSOW7[[#This Row],[% work on project]]*AQ17/tblSOW7[[#This Row],[Duration]]+tblSOW7[[#This Row],[Task Cost]]*BC17+tblSOW7[[#This Row],[External Expenses/Revenues USD]]*BO17/tblSOW7[[#This Row],[Duration]]</f>
        <v>0</v>
      </c>
      <c r="AF17" s="74">
        <f>tblSOW7[[#This Row],[FTE Cost]]*tblSOW7[[#This Row],[% work on project]]*AR17/tblSOW7[[#This Row],[Duration]]+tblSOW7[[#This Row],[Task Cost]]*BD17+tblSOW7[[#This Row],[External Expenses/Revenues USD]]*BP17/tblSOW7[[#This Row],[Duration]]</f>
        <v>2848.1855236868641</v>
      </c>
      <c r="AG17" s="74">
        <f>tblSOW7[[#This Row],[FTE Cost]]*tblSOW7[[#This Row],[% work on project]]*AS17/tblSOW7[[#This Row],[Duration]]+tblSOW7[[#This Row],[Task Cost]]*BE17+tblSOW7[[#This Row],[External Expenses/Revenues USD]]*BQ17/tblSOW7[[#This Row],[Duration]]</f>
        <v>2848.1855236868641</v>
      </c>
      <c r="AH17" s="74">
        <f>tblSOW7[[#This Row],[FTE Cost]]*tblSOW7[[#This Row],[% work on project]]*AT17/tblSOW7[[#This Row],[Duration]]+tblSOW7[[#This Row],[Task Cost]]*BF17+tblSOW7[[#This Row],[External Expenses/Revenues USD]]*BR17/tblSOW7[[#This Row],[Duration]]</f>
        <v>2848.1855236868641</v>
      </c>
      <c r="AI17" s="74">
        <f>tblSOW7[[#This Row],[FTE Cost]]*tblSOW7[[#This Row],[% work on project]]*AU17/tblSOW7[[#This Row],[Duration]]+tblSOW7[[#This Row],[Task Cost]]*BG17+tblSOW7[[#This Row],[External Expenses/Revenues USD]]*BS17/tblSOW7[[#This Row],[Duration]]</f>
        <v>0</v>
      </c>
      <c r="AJ17" s="74">
        <f>tblSOW7[[#This Row],[FTE Cost]]*tblSOW7[[#This Row],[% work on project]]*AV17/tblSOW7[[#This Row],[Duration]]+tblSOW7[[#This Row],[Task Cost]]*BH17+tblSOW7[[#This Row],[External Expenses/Revenues USD]]*BT17/tblSOW7[[#This Row],[Duration]]</f>
        <v>0</v>
      </c>
      <c r="AK17" s="74">
        <f t="shared" si="1"/>
        <v>0</v>
      </c>
      <c r="AL17" s="74">
        <f t="shared" si="1"/>
        <v>0</v>
      </c>
      <c r="AM17" s="74">
        <f t="shared" si="1"/>
        <v>0</v>
      </c>
      <c r="AN17" s="74">
        <f t="shared" si="1"/>
        <v>0</v>
      </c>
      <c r="AO17" s="74">
        <f t="shared" si="1"/>
        <v>0</v>
      </c>
      <c r="AP17" s="74">
        <f t="shared" si="1"/>
        <v>0</v>
      </c>
      <c r="AQ17" s="74">
        <f t="shared" si="1"/>
        <v>0</v>
      </c>
      <c r="AR17" s="74">
        <f t="shared" si="1"/>
        <v>1</v>
      </c>
      <c r="AS17" s="74">
        <f t="shared" si="1"/>
        <v>1</v>
      </c>
      <c r="AT17" s="74">
        <f t="shared" si="1"/>
        <v>1</v>
      </c>
      <c r="AU17" s="74">
        <f t="shared" si="1"/>
        <v>0</v>
      </c>
      <c r="AV17" s="74">
        <f t="shared" si="1"/>
        <v>0</v>
      </c>
      <c r="AW17" s="74">
        <f t="shared" si="2"/>
        <v>0</v>
      </c>
      <c r="AX17" s="74">
        <f t="shared" si="2"/>
        <v>0</v>
      </c>
      <c r="AY17" s="74">
        <f t="shared" si="2"/>
        <v>0</v>
      </c>
      <c r="AZ17" s="74">
        <f t="shared" si="2"/>
        <v>0</v>
      </c>
      <c r="BA17" s="74">
        <f t="shared" si="2"/>
        <v>0</v>
      </c>
      <c r="BB17" s="74">
        <f t="shared" si="2"/>
        <v>0</v>
      </c>
      <c r="BC17" s="74">
        <f t="shared" si="2"/>
        <v>0</v>
      </c>
      <c r="BD17" s="74">
        <f t="shared" si="2"/>
        <v>3.3333333333333335</v>
      </c>
      <c r="BE17" s="74">
        <f t="shared" si="2"/>
        <v>3.3333333333333335</v>
      </c>
      <c r="BF17" s="74">
        <f t="shared" si="2"/>
        <v>3.3333333333333335</v>
      </c>
      <c r="BG17" s="74">
        <f t="shared" si="2"/>
        <v>0</v>
      </c>
      <c r="BH17" s="74">
        <f t="shared" si="2"/>
        <v>0</v>
      </c>
      <c r="BI17" s="74">
        <f t="shared" si="3"/>
        <v>0</v>
      </c>
      <c r="BJ17" s="74">
        <f t="shared" si="3"/>
        <v>0</v>
      </c>
      <c r="BK17" s="74">
        <f t="shared" si="3"/>
        <v>0</v>
      </c>
      <c r="BL17" s="74">
        <f t="shared" si="3"/>
        <v>0</v>
      </c>
      <c r="BM17" s="74">
        <f t="shared" si="3"/>
        <v>0</v>
      </c>
      <c r="BN17" s="74">
        <f t="shared" si="3"/>
        <v>0</v>
      </c>
      <c r="BO17" s="74">
        <f t="shared" si="3"/>
        <v>0</v>
      </c>
      <c r="BP17" s="74">
        <f t="shared" si="3"/>
        <v>1</v>
      </c>
      <c r="BQ17" s="74">
        <f t="shared" si="3"/>
        <v>1</v>
      </c>
      <c r="BR17" s="74">
        <f t="shared" si="3"/>
        <v>1</v>
      </c>
      <c r="BS17" s="74">
        <f t="shared" si="3"/>
        <v>0</v>
      </c>
      <c r="BT17" s="74">
        <f t="shared" si="3"/>
        <v>0</v>
      </c>
      <c r="BU17" s="74">
        <f>SUM(tblSOW7[[#This Row],[P1]:[P12]])</f>
        <v>3</v>
      </c>
      <c r="BV17" s="74">
        <f xml:space="preserve"> IF(AND(ISNUMBER(SEARCH("-E000",tblSOW7[[#This Row],[Budget Item]])), ISERROR(VLOOKUP(tblSOW7[[#This Row],[Employee name ]],[29]Parameters!CP:DH,19,0))),VLOOKUP(tblSOW7[[#This Row],[Employee name ]],[29]Parameters!CP:DH,19,0),IFERROR(VLOOKUP(tblSOW7[[#This Row],[Employee name ]],[29]Parameters!CP:DH,19,0),0))</f>
        <v>0</v>
      </c>
      <c r="BW17" s="74">
        <f>IFERROR(VLOOKUP(K17,[29]Parameters!BN:BW,10,0),0)</f>
        <v>854.45565710605922</v>
      </c>
    </row>
    <row r="18" spans="1:75" s="75" customFormat="1">
      <c r="A18" s="67" t="str">
        <f>CONCATENATE(INDEX([29]Parameters!$U$1:$V$20,MATCH(C18,[29]Parameters!$V$1:$V$20,0),1),"/",VLOOKUP(D18,[29]Parameters!$CG$1:$CH$12,2,0),".",E18,".",H18,".",LEFT(J18,3),"-",LEFT(K18,4))</f>
        <v>B70/20.P999.405.950-T103</v>
      </c>
      <c r="B18" s="67" t="s">
        <v>123</v>
      </c>
      <c r="C18" s="67" t="s">
        <v>123</v>
      </c>
      <c r="D18" s="39" t="s">
        <v>95</v>
      </c>
      <c r="E18" s="40" t="str">
        <f>VLOOKUP(F18,[29]Parameters!P:T,4,0)</f>
        <v>P999</v>
      </c>
      <c r="F18" s="39" t="s">
        <v>92</v>
      </c>
      <c r="G18" s="67"/>
      <c r="H18" s="67">
        <f>INDEX([29]Parameters!$B:$C,MATCH(I18,[29]Parameters!$C:$C,0),1)</f>
        <v>405</v>
      </c>
      <c r="I18" s="68" t="s">
        <v>98</v>
      </c>
      <c r="J18" s="68" t="s">
        <v>94</v>
      </c>
      <c r="K18" s="68" t="s">
        <v>99</v>
      </c>
      <c r="L18" s="68" t="str">
        <f>IFERROR(VLOOKUP(tblSOW7[[#This Row],[Employee name ]],[29]Parameters!CP:CS,4,0),"")</f>
        <v/>
      </c>
      <c r="M18" s="69"/>
      <c r="N18" s="67" t="s">
        <v>142</v>
      </c>
      <c r="O18" s="76"/>
      <c r="P18" s="72">
        <v>45139</v>
      </c>
      <c r="Q18" s="72">
        <v>45230</v>
      </c>
      <c r="R18" s="67"/>
      <c r="S18" s="67">
        <f t="shared" si="0"/>
        <v>3</v>
      </c>
      <c r="T18" s="68"/>
      <c r="U18" s="68">
        <v>10</v>
      </c>
      <c r="V18" s="68"/>
      <c r="W18" s="68"/>
      <c r="X18" s="67">
        <f>SUM(tblSOW7[[#This Row],[Jan 2023 USD]:[Dec 2023 USD]])</f>
        <v>8544.5565710605915</v>
      </c>
      <c r="Y18" s="74">
        <f>tblSOW7[[#This Row],[FTE Cost]]*tblSOW7[[#This Row],[% work on project]]*AK18/tblSOW7[[#This Row],[Duration]]+tblSOW7[[#This Row],[Task Cost]]*AW18+tblSOW7[[#This Row],[External Expenses/Revenues USD]]*BI18/tblSOW7[[#This Row],[Duration]]</f>
        <v>0</v>
      </c>
      <c r="Z18" s="74">
        <f>tblSOW7[[#This Row],[FTE Cost]]*tblSOW7[[#This Row],[% work on project]]*AL18/tblSOW7[[#This Row],[Duration]]+tblSOW7[[#This Row],[Task Cost]]*AX18+tblSOW7[[#This Row],[External Expenses/Revenues USD]]*BJ18/tblSOW7[[#This Row],[Duration]]</f>
        <v>0</v>
      </c>
      <c r="AA18" s="74">
        <f>tblSOW7[[#This Row],[FTE Cost]]*tblSOW7[[#This Row],[% work on project]]*AM18/tblSOW7[[#This Row],[Duration]]+tblSOW7[[#This Row],[Task Cost]]*AY18+tblSOW7[[#This Row],[External Expenses/Revenues USD]]*BK18/tblSOW7[[#This Row],[Duration]]</f>
        <v>0</v>
      </c>
      <c r="AB18" s="74">
        <f>tblSOW7[[#This Row],[FTE Cost]]*tblSOW7[[#This Row],[% work on project]]*AN18/tblSOW7[[#This Row],[Duration]]+tblSOW7[[#This Row],[Task Cost]]*AZ18+tblSOW7[[#This Row],[External Expenses/Revenues USD]]*BL18/tblSOW7[[#This Row],[Duration]]</f>
        <v>0</v>
      </c>
      <c r="AC18" s="74">
        <f>tblSOW7[[#This Row],[FTE Cost]]*tblSOW7[[#This Row],[% work on project]]*AO18/tblSOW7[[#This Row],[Duration]]+tblSOW7[[#This Row],[Task Cost]]*BA18+tblSOW7[[#This Row],[External Expenses/Revenues USD]]*BM18/tblSOW7[[#This Row],[Duration]]</f>
        <v>0</v>
      </c>
      <c r="AD18" s="74">
        <f>tblSOW7[[#This Row],[FTE Cost]]*tblSOW7[[#This Row],[% work on project]]*AP18/tblSOW7[[#This Row],[Duration]]+tblSOW7[[#This Row],[Task Cost]]*BB18+tblSOW7[[#This Row],[External Expenses/Revenues USD]]*BN18/tblSOW7[[#This Row],[Duration]]</f>
        <v>0</v>
      </c>
      <c r="AE18" s="74">
        <f>tblSOW7[[#This Row],[FTE Cost]]*tblSOW7[[#This Row],[% work on project]]*AQ18/tblSOW7[[#This Row],[Duration]]+tblSOW7[[#This Row],[Task Cost]]*BC18+tblSOW7[[#This Row],[External Expenses/Revenues USD]]*BO18/tblSOW7[[#This Row],[Duration]]</f>
        <v>0</v>
      </c>
      <c r="AF18" s="74">
        <f>tblSOW7[[#This Row],[FTE Cost]]*tblSOW7[[#This Row],[% work on project]]*AR18/tblSOW7[[#This Row],[Duration]]+tblSOW7[[#This Row],[Task Cost]]*BD18+tblSOW7[[#This Row],[External Expenses/Revenues USD]]*BP18/tblSOW7[[#This Row],[Duration]]</f>
        <v>2848.1855236868641</v>
      </c>
      <c r="AG18" s="74">
        <f>tblSOW7[[#This Row],[FTE Cost]]*tblSOW7[[#This Row],[% work on project]]*AS18/tblSOW7[[#This Row],[Duration]]+tblSOW7[[#This Row],[Task Cost]]*BE18+tblSOW7[[#This Row],[External Expenses/Revenues USD]]*BQ18/tblSOW7[[#This Row],[Duration]]</f>
        <v>2848.1855236868641</v>
      </c>
      <c r="AH18" s="74">
        <f>tblSOW7[[#This Row],[FTE Cost]]*tblSOW7[[#This Row],[% work on project]]*AT18/tblSOW7[[#This Row],[Duration]]+tblSOW7[[#This Row],[Task Cost]]*BF18+tblSOW7[[#This Row],[External Expenses/Revenues USD]]*BR18/tblSOW7[[#This Row],[Duration]]</f>
        <v>2848.1855236868641</v>
      </c>
      <c r="AI18" s="74">
        <f>tblSOW7[[#This Row],[FTE Cost]]*tblSOW7[[#This Row],[% work on project]]*AU18/tblSOW7[[#This Row],[Duration]]+tblSOW7[[#This Row],[Task Cost]]*BG18+tblSOW7[[#This Row],[External Expenses/Revenues USD]]*BS18/tblSOW7[[#This Row],[Duration]]</f>
        <v>0</v>
      </c>
      <c r="AJ18" s="74">
        <f>tblSOW7[[#This Row],[FTE Cost]]*tblSOW7[[#This Row],[% work on project]]*AV18/tblSOW7[[#This Row],[Duration]]+tblSOW7[[#This Row],[Task Cost]]*BH18+tblSOW7[[#This Row],[External Expenses/Revenues USD]]*BT18/tblSOW7[[#This Row],[Duration]]</f>
        <v>0</v>
      </c>
      <c r="AK18" s="74">
        <f t="shared" si="1"/>
        <v>0</v>
      </c>
      <c r="AL18" s="74">
        <f t="shared" si="1"/>
        <v>0</v>
      </c>
      <c r="AM18" s="74">
        <f t="shared" si="1"/>
        <v>0</v>
      </c>
      <c r="AN18" s="74">
        <f t="shared" si="1"/>
        <v>0</v>
      </c>
      <c r="AO18" s="74">
        <f t="shared" si="1"/>
        <v>0</v>
      </c>
      <c r="AP18" s="74">
        <f t="shared" si="1"/>
        <v>0</v>
      </c>
      <c r="AQ18" s="74">
        <f t="shared" si="1"/>
        <v>0</v>
      </c>
      <c r="AR18" s="74">
        <f t="shared" si="1"/>
        <v>1</v>
      </c>
      <c r="AS18" s="74">
        <f t="shared" si="1"/>
        <v>1</v>
      </c>
      <c r="AT18" s="74">
        <f t="shared" si="1"/>
        <v>1</v>
      </c>
      <c r="AU18" s="74">
        <f t="shared" si="1"/>
        <v>0</v>
      </c>
      <c r="AV18" s="74">
        <f t="shared" si="1"/>
        <v>0</v>
      </c>
      <c r="AW18" s="74">
        <f t="shared" si="2"/>
        <v>0</v>
      </c>
      <c r="AX18" s="74">
        <f t="shared" si="2"/>
        <v>0</v>
      </c>
      <c r="AY18" s="74">
        <f t="shared" si="2"/>
        <v>0</v>
      </c>
      <c r="AZ18" s="74">
        <f t="shared" si="2"/>
        <v>0</v>
      </c>
      <c r="BA18" s="74">
        <f t="shared" si="2"/>
        <v>0</v>
      </c>
      <c r="BB18" s="74">
        <f t="shared" si="2"/>
        <v>0</v>
      </c>
      <c r="BC18" s="74">
        <f t="shared" si="2"/>
        <v>0</v>
      </c>
      <c r="BD18" s="74">
        <f t="shared" si="2"/>
        <v>3.3333333333333335</v>
      </c>
      <c r="BE18" s="74">
        <f t="shared" si="2"/>
        <v>3.3333333333333335</v>
      </c>
      <c r="BF18" s="74">
        <f t="shared" si="2"/>
        <v>3.3333333333333335</v>
      </c>
      <c r="BG18" s="74">
        <f t="shared" si="2"/>
        <v>0</v>
      </c>
      <c r="BH18" s="74">
        <f t="shared" si="2"/>
        <v>0</v>
      </c>
      <c r="BI18" s="74">
        <f t="shared" si="3"/>
        <v>0</v>
      </c>
      <c r="BJ18" s="74">
        <f t="shared" si="3"/>
        <v>0</v>
      </c>
      <c r="BK18" s="74">
        <f t="shared" si="3"/>
        <v>0</v>
      </c>
      <c r="BL18" s="74">
        <f t="shared" si="3"/>
        <v>0</v>
      </c>
      <c r="BM18" s="74">
        <f t="shared" si="3"/>
        <v>0</v>
      </c>
      <c r="BN18" s="74">
        <f t="shared" si="3"/>
        <v>0</v>
      </c>
      <c r="BO18" s="74">
        <f t="shared" si="3"/>
        <v>0</v>
      </c>
      <c r="BP18" s="74">
        <f t="shared" si="3"/>
        <v>1</v>
      </c>
      <c r="BQ18" s="74">
        <f t="shared" si="3"/>
        <v>1</v>
      </c>
      <c r="BR18" s="74">
        <f t="shared" si="3"/>
        <v>1</v>
      </c>
      <c r="BS18" s="74">
        <f t="shared" si="3"/>
        <v>0</v>
      </c>
      <c r="BT18" s="74">
        <f t="shared" si="3"/>
        <v>0</v>
      </c>
      <c r="BU18" s="74">
        <f>SUM(tblSOW7[[#This Row],[P1]:[P12]])</f>
        <v>3</v>
      </c>
      <c r="BV18" s="74">
        <f xml:space="preserve"> IF(AND(ISNUMBER(SEARCH("-E000",tblSOW7[[#This Row],[Budget Item]])), ISERROR(VLOOKUP(tblSOW7[[#This Row],[Employee name ]],[29]Parameters!CP:DH,19,0))),VLOOKUP(tblSOW7[[#This Row],[Employee name ]],[29]Parameters!CP:DH,19,0),IFERROR(VLOOKUP(tblSOW7[[#This Row],[Employee name ]],[29]Parameters!CP:DH,19,0),0))</f>
        <v>0</v>
      </c>
      <c r="BW18" s="74">
        <f>IFERROR(VLOOKUP(K18,[29]Parameters!BN:BW,10,0),0)</f>
        <v>854.45565710605922</v>
      </c>
    </row>
    <row r="19" spans="1:75" s="75" customFormat="1">
      <c r="A19" s="67" t="str">
        <f>CONCATENATE(INDEX([29]Parameters!$U$1:$V$20,MATCH(C19,[29]Parameters!$V$1:$V$20,0),1),"/",VLOOKUP(D19,[29]Parameters!$CG$1:$CH$12,2,0),".",E19,".",H19,".",LEFT(J19,3),"-",LEFT(K19,4))</f>
        <v>B70/20.P999.427.950-T109</v>
      </c>
      <c r="B19" s="67" t="s">
        <v>123</v>
      </c>
      <c r="C19" s="67" t="s">
        <v>123</v>
      </c>
      <c r="D19" s="39" t="s">
        <v>95</v>
      </c>
      <c r="E19" s="40" t="str">
        <f>VLOOKUP(F19,[29]Parameters!P:T,4,0)</f>
        <v>P999</v>
      </c>
      <c r="F19" s="39" t="s">
        <v>92</v>
      </c>
      <c r="G19" s="67"/>
      <c r="H19" s="67">
        <f>INDEX([29]Parameters!$B:$C,MATCH(I19,[29]Parameters!$C:$C,0),1)</f>
        <v>427</v>
      </c>
      <c r="I19" s="68" t="s">
        <v>104</v>
      </c>
      <c r="J19" s="68" t="s">
        <v>94</v>
      </c>
      <c r="K19" s="68" t="s">
        <v>105</v>
      </c>
      <c r="L19" s="68" t="str">
        <f>IFERROR(VLOOKUP(tblSOW7[[#This Row],[Employee name ]],[29]Parameters!CP:CS,4,0),"")</f>
        <v/>
      </c>
      <c r="M19" s="69"/>
      <c r="N19" s="67" t="s">
        <v>143</v>
      </c>
      <c r="O19" s="76"/>
      <c r="P19" s="72">
        <v>45139</v>
      </c>
      <c r="Q19" s="72">
        <v>45230</v>
      </c>
      <c r="R19" s="67"/>
      <c r="S19" s="67">
        <f t="shared" si="0"/>
        <v>3</v>
      </c>
      <c r="T19" s="68"/>
      <c r="U19" s="68">
        <v>2</v>
      </c>
      <c r="V19" s="68"/>
      <c r="W19" s="68"/>
      <c r="X19" s="67">
        <f>SUM(tblSOW7[[#This Row],[Jan 2023 USD]:[Dec 2023 USD]])</f>
        <v>1654.8864134118219</v>
      </c>
      <c r="Y19" s="74">
        <f>tblSOW7[[#This Row],[FTE Cost]]*tblSOW7[[#This Row],[% work on project]]*AK19/tblSOW7[[#This Row],[Duration]]+tblSOW7[[#This Row],[Task Cost]]*AW19+tblSOW7[[#This Row],[External Expenses/Revenues USD]]*BI19/tblSOW7[[#This Row],[Duration]]</f>
        <v>0</v>
      </c>
      <c r="Z19" s="74">
        <f>tblSOW7[[#This Row],[FTE Cost]]*tblSOW7[[#This Row],[% work on project]]*AL19/tblSOW7[[#This Row],[Duration]]+tblSOW7[[#This Row],[Task Cost]]*AX19+tblSOW7[[#This Row],[External Expenses/Revenues USD]]*BJ19/tblSOW7[[#This Row],[Duration]]</f>
        <v>0</v>
      </c>
      <c r="AA19" s="74">
        <f>tblSOW7[[#This Row],[FTE Cost]]*tblSOW7[[#This Row],[% work on project]]*AM19/tblSOW7[[#This Row],[Duration]]+tblSOW7[[#This Row],[Task Cost]]*AY19+tblSOW7[[#This Row],[External Expenses/Revenues USD]]*BK19/tblSOW7[[#This Row],[Duration]]</f>
        <v>0</v>
      </c>
      <c r="AB19" s="74">
        <f>tblSOW7[[#This Row],[FTE Cost]]*tblSOW7[[#This Row],[% work on project]]*AN19/tblSOW7[[#This Row],[Duration]]+tblSOW7[[#This Row],[Task Cost]]*AZ19+tblSOW7[[#This Row],[External Expenses/Revenues USD]]*BL19/tblSOW7[[#This Row],[Duration]]</f>
        <v>0</v>
      </c>
      <c r="AC19" s="74">
        <f>tblSOW7[[#This Row],[FTE Cost]]*tblSOW7[[#This Row],[% work on project]]*AO19/tblSOW7[[#This Row],[Duration]]+tblSOW7[[#This Row],[Task Cost]]*BA19+tblSOW7[[#This Row],[External Expenses/Revenues USD]]*BM19/tblSOW7[[#This Row],[Duration]]</f>
        <v>0</v>
      </c>
      <c r="AD19" s="74">
        <f>tblSOW7[[#This Row],[FTE Cost]]*tblSOW7[[#This Row],[% work on project]]*AP19/tblSOW7[[#This Row],[Duration]]+tblSOW7[[#This Row],[Task Cost]]*BB19+tblSOW7[[#This Row],[External Expenses/Revenues USD]]*BN19/tblSOW7[[#This Row],[Duration]]</f>
        <v>0</v>
      </c>
      <c r="AE19" s="74">
        <f>tblSOW7[[#This Row],[FTE Cost]]*tblSOW7[[#This Row],[% work on project]]*AQ19/tblSOW7[[#This Row],[Duration]]+tblSOW7[[#This Row],[Task Cost]]*BC19+tblSOW7[[#This Row],[External Expenses/Revenues USD]]*BO19/tblSOW7[[#This Row],[Duration]]</f>
        <v>0</v>
      </c>
      <c r="AF19" s="74">
        <f>tblSOW7[[#This Row],[FTE Cost]]*tblSOW7[[#This Row],[% work on project]]*AR19/tblSOW7[[#This Row],[Duration]]+tblSOW7[[#This Row],[Task Cost]]*BD19+tblSOW7[[#This Row],[External Expenses/Revenues USD]]*BP19/tblSOW7[[#This Row],[Duration]]</f>
        <v>551.62880447060729</v>
      </c>
      <c r="AG19" s="74">
        <f>tblSOW7[[#This Row],[FTE Cost]]*tblSOW7[[#This Row],[% work on project]]*AS19/tblSOW7[[#This Row],[Duration]]+tblSOW7[[#This Row],[Task Cost]]*BE19+tblSOW7[[#This Row],[External Expenses/Revenues USD]]*BQ19/tblSOW7[[#This Row],[Duration]]</f>
        <v>551.62880447060729</v>
      </c>
      <c r="AH19" s="74">
        <f>tblSOW7[[#This Row],[FTE Cost]]*tblSOW7[[#This Row],[% work on project]]*AT19/tblSOW7[[#This Row],[Duration]]+tblSOW7[[#This Row],[Task Cost]]*BF19+tblSOW7[[#This Row],[External Expenses/Revenues USD]]*BR19/tblSOW7[[#This Row],[Duration]]</f>
        <v>551.62880447060729</v>
      </c>
      <c r="AI19" s="74">
        <f>tblSOW7[[#This Row],[FTE Cost]]*tblSOW7[[#This Row],[% work on project]]*AU19/tblSOW7[[#This Row],[Duration]]+tblSOW7[[#This Row],[Task Cost]]*BG19+tblSOW7[[#This Row],[External Expenses/Revenues USD]]*BS19/tblSOW7[[#This Row],[Duration]]</f>
        <v>0</v>
      </c>
      <c r="AJ19" s="74">
        <f>tblSOW7[[#This Row],[FTE Cost]]*tblSOW7[[#This Row],[% work on project]]*AV19/tblSOW7[[#This Row],[Duration]]+tblSOW7[[#This Row],[Task Cost]]*BH19+tblSOW7[[#This Row],[External Expenses/Revenues USD]]*BT19/tblSOW7[[#This Row],[Duration]]</f>
        <v>0</v>
      </c>
      <c r="AK19" s="74">
        <f t="shared" si="1"/>
        <v>0</v>
      </c>
      <c r="AL19" s="74">
        <f t="shared" si="1"/>
        <v>0</v>
      </c>
      <c r="AM19" s="74">
        <f t="shared" si="1"/>
        <v>0</v>
      </c>
      <c r="AN19" s="74">
        <f t="shared" si="1"/>
        <v>0</v>
      </c>
      <c r="AO19" s="74">
        <f t="shared" si="1"/>
        <v>0</v>
      </c>
      <c r="AP19" s="74">
        <f t="shared" si="1"/>
        <v>0</v>
      </c>
      <c r="AQ19" s="74">
        <f t="shared" si="1"/>
        <v>0</v>
      </c>
      <c r="AR19" s="74">
        <f t="shared" si="1"/>
        <v>1</v>
      </c>
      <c r="AS19" s="74">
        <f t="shared" si="1"/>
        <v>1</v>
      </c>
      <c r="AT19" s="74">
        <f t="shared" si="1"/>
        <v>1</v>
      </c>
      <c r="AU19" s="74">
        <f t="shared" si="1"/>
        <v>0</v>
      </c>
      <c r="AV19" s="74">
        <f t="shared" si="1"/>
        <v>0</v>
      </c>
      <c r="AW19" s="74">
        <f t="shared" si="2"/>
        <v>0</v>
      </c>
      <c r="AX19" s="74">
        <f t="shared" si="2"/>
        <v>0</v>
      </c>
      <c r="AY19" s="74">
        <f t="shared" si="2"/>
        <v>0</v>
      </c>
      <c r="AZ19" s="74">
        <f t="shared" si="2"/>
        <v>0</v>
      </c>
      <c r="BA19" s="74">
        <f t="shared" si="2"/>
        <v>0</v>
      </c>
      <c r="BB19" s="74">
        <f t="shared" si="2"/>
        <v>0</v>
      </c>
      <c r="BC19" s="74">
        <f t="shared" si="2"/>
        <v>0</v>
      </c>
      <c r="BD19" s="74">
        <f t="shared" si="2"/>
        <v>0.66666666666666663</v>
      </c>
      <c r="BE19" s="74">
        <f t="shared" si="2"/>
        <v>0.66666666666666663</v>
      </c>
      <c r="BF19" s="74">
        <f t="shared" si="2"/>
        <v>0.66666666666666663</v>
      </c>
      <c r="BG19" s="74">
        <f t="shared" si="2"/>
        <v>0</v>
      </c>
      <c r="BH19" s="74">
        <f t="shared" si="2"/>
        <v>0</v>
      </c>
      <c r="BI19" s="74">
        <f t="shared" si="3"/>
        <v>0</v>
      </c>
      <c r="BJ19" s="74">
        <f t="shared" si="3"/>
        <v>0</v>
      </c>
      <c r="BK19" s="74">
        <f t="shared" si="3"/>
        <v>0</v>
      </c>
      <c r="BL19" s="74">
        <f t="shared" si="3"/>
        <v>0</v>
      </c>
      <c r="BM19" s="74">
        <f t="shared" si="3"/>
        <v>0</v>
      </c>
      <c r="BN19" s="74">
        <f t="shared" si="3"/>
        <v>0</v>
      </c>
      <c r="BO19" s="74">
        <f t="shared" si="3"/>
        <v>0</v>
      </c>
      <c r="BP19" s="74">
        <f t="shared" si="3"/>
        <v>1</v>
      </c>
      <c r="BQ19" s="74">
        <f t="shared" si="3"/>
        <v>1</v>
      </c>
      <c r="BR19" s="74">
        <f t="shared" si="3"/>
        <v>1</v>
      </c>
      <c r="BS19" s="74">
        <f t="shared" si="3"/>
        <v>0</v>
      </c>
      <c r="BT19" s="74">
        <f t="shared" si="3"/>
        <v>0</v>
      </c>
      <c r="BU19" s="74">
        <f>SUM(tblSOW7[[#This Row],[P1]:[P12]])</f>
        <v>3</v>
      </c>
      <c r="BV19" s="74">
        <f xml:space="preserve"> IF(AND(ISNUMBER(SEARCH("-E000",tblSOW7[[#This Row],[Budget Item]])), ISERROR(VLOOKUP(tblSOW7[[#This Row],[Employee name ]],[29]Parameters!CP:DH,19,0))),VLOOKUP(tblSOW7[[#This Row],[Employee name ]],[29]Parameters!CP:DH,19,0),IFERROR(VLOOKUP(tblSOW7[[#This Row],[Employee name ]],[29]Parameters!CP:DH,19,0),0))</f>
        <v>0</v>
      </c>
      <c r="BW19" s="74">
        <f>IFERROR(VLOOKUP(K19,[29]Parameters!BN:BW,10,0),0)</f>
        <v>827.44320670591105</v>
      </c>
    </row>
    <row r="20" spans="1:75" s="75" customFormat="1">
      <c r="A20" s="67" t="str">
        <f>CONCATENATE(INDEX([29]Parameters!$U$1:$V$20,MATCH(C20,[29]Parameters!$V$1:$V$20,0),1),"/",VLOOKUP(D20,[29]Parameters!$CG$1:$CH$12,2,0),".",E20,".",H20,".",LEFT(J20,3),"-",LEFT(K20,4))</f>
        <v>B70/20.P252.405.950-T103</v>
      </c>
      <c r="B20" s="67" t="s">
        <v>123</v>
      </c>
      <c r="C20" s="67" t="s">
        <v>123</v>
      </c>
      <c r="D20" s="39" t="s">
        <v>95</v>
      </c>
      <c r="E20" s="40" t="str">
        <f>VLOOKUP(F20,[29]Parameters!P:T,4,0)</f>
        <v>P252</v>
      </c>
      <c r="F20" s="39" t="s">
        <v>124</v>
      </c>
      <c r="G20" s="67"/>
      <c r="H20" s="67">
        <f>INDEX([29]Parameters!$B:$C,MATCH(I20,[29]Parameters!$C:$C,0),1)</f>
        <v>405</v>
      </c>
      <c r="I20" s="68" t="s">
        <v>98</v>
      </c>
      <c r="J20" s="68" t="s">
        <v>94</v>
      </c>
      <c r="K20" s="68" t="s">
        <v>99</v>
      </c>
      <c r="L20" s="68" t="str">
        <f>IFERROR(VLOOKUP(tblSOW7[[#This Row],[Employee name ]],[29]Parameters!CP:CS,4,0),"")</f>
        <v/>
      </c>
      <c r="M20" s="69"/>
      <c r="N20" s="67" t="s">
        <v>144</v>
      </c>
      <c r="O20" s="76"/>
      <c r="P20" s="72">
        <v>45200</v>
      </c>
      <c r="Q20" s="72">
        <v>45291</v>
      </c>
      <c r="R20" s="67"/>
      <c r="S20" s="67">
        <f t="shared" si="0"/>
        <v>3</v>
      </c>
      <c r="T20" s="68"/>
      <c r="U20" s="68">
        <v>5</v>
      </c>
      <c r="V20" s="68"/>
      <c r="W20" s="68"/>
      <c r="X20" s="67">
        <f>SUM(tblSOW7[[#This Row],[Jan 2023 USD]:[Dec 2023 USD]])</f>
        <v>4272.2782855302958</v>
      </c>
      <c r="Y20" s="74">
        <f>tblSOW7[[#This Row],[FTE Cost]]*tblSOW7[[#This Row],[% work on project]]*AK20/tblSOW7[[#This Row],[Duration]]+tblSOW7[[#This Row],[Task Cost]]*AW20+tblSOW7[[#This Row],[External Expenses/Revenues USD]]*BI20/tblSOW7[[#This Row],[Duration]]</f>
        <v>0</v>
      </c>
      <c r="Z20" s="74">
        <f>tblSOW7[[#This Row],[FTE Cost]]*tblSOW7[[#This Row],[% work on project]]*AL20/tblSOW7[[#This Row],[Duration]]+tblSOW7[[#This Row],[Task Cost]]*AX20+tblSOW7[[#This Row],[External Expenses/Revenues USD]]*BJ20/tblSOW7[[#This Row],[Duration]]</f>
        <v>0</v>
      </c>
      <c r="AA20" s="74">
        <f>tblSOW7[[#This Row],[FTE Cost]]*tblSOW7[[#This Row],[% work on project]]*AM20/tblSOW7[[#This Row],[Duration]]+tblSOW7[[#This Row],[Task Cost]]*AY20+tblSOW7[[#This Row],[External Expenses/Revenues USD]]*BK20/tblSOW7[[#This Row],[Duration]]</f>
        <v>0</v>
      </c>
      <c r="AB20" s="74">
        <f>tblSOW7[[#This Row],[FTE Cost]]*tblSOW7[[#This Row],[% work on project]]*AN20/tblSOW7[[#This Row],[Duration]]+tblSOW7[[#This Row],[Task Cost]]*AZ20+tblSOW7[[#This Row],[External Expenses/Revenues USD]]*BL20/tblSOW7[[#This Row],[Duration]]</f>
        <v>0</v>
      </c>
      <c r="AC20" s="74">
        <f>tblSOW7[[#This Row],[FTE Cost]]*tblSOW7[[#This Row],[% work on project]]*AO20/tblSOW7[[#This Row],[Duration]]+tblSOW7[[#This Row],[Task Cost]]*BA20+tblSOW7[[#This Row],[External Expenses/Revenues USD]]*BM20/tblSOW7[[#This Row],[Duration]]</f>
        <v>0</v>
      </c>
      <c r="AD20" s="74">
        <f>tblSOW7[[#This Row],[FTE Cost]]*tblSOW7[[#This Row],[% work on project]]*AP20/tblSOW7[[#This Row],[Duration]]+tblSOW7[[#This Row],[Task Cost]]*BB20+tblSOW7[[#This Row],[External Expenses/Revenues USD]]*BN20/tblSOW7[[#This Row],[Duration]]</f>
        <v>0</v>
      </c>
      <c r="AE20" s="74">
        <f>tblSOW7[[#This Row],[FTE Cost]]*tblSOW7[[#This Row],[% work on project]]*AQ20/tblSOW7[[#This Row],[Duration]]+tblSOW7[[#This Row],[Task Cost]]*BC20+tblSOW7[[#This Row],[External Expenses/Revenues USD]]*BO20/tblSOW7[[#This Row],[Duration]]</f>
        <v>0</v>
      </c>
      <c r="AF20" s="74">
        <f>tblSOW7[[#This Row],[FTE Cost]]*tblSOW7[[#This Row],[% work on project]]*AR20/tblSOW7[[#This Row],[Duration]]+tblSOW7[[#This Row],[Task Cost]]*BD20+tblSOW7[[#This Row],[External Expenses/Revenues USD]]*BP20/tblSOW7[[#This Row],[Duration]]</f>
        <v>0</v>
      </c>
      <c r="AG20" s="74">
        <f>tblSOW7[[#This Row],[FTE Cost]]*tblSOW7[[#This Row],[% work on project]]*AS20/tblSOW7[[#This Row],[Duration]]+tblSOW7[[#This Row],[Task Cost]]*BE20+tblSOW7[[#This Row],[External Expenses/Revenues USD]]*BQ20/tblSOW7[[#This Row],[Duration]]</f>
        <v>0</v>
      </c>
      <c r="AH20" s="74">
        <f>tblSOW7[[#This Row],[FTE Cost]]*tblSOW7[[#This Row],[% work on project]]*AT20/tblSOW7[[#This Row],[Duration]]+tblSOW7[[#This Row],[Task Cost]]*BF20+tblSOW7[[#This Row],[External Expenses/Revenues USD]]*BR20/tblSOW7[[#This Row],[Duration]]</f>
        <v>1424.0927618434321</v>
      </c>
      <c r="AI20" s="74">
        <f>tblSOW7[[#This Row],[FTE Cost]]*tblSOW7[[#This Row],[% work on project]]*AU20/tblSOW7[[#This Row],[Duration]]+tblSOW7[[#This Row],[Task Cost]]*BG20+tblSOW7[[#This Row],[External Expenses/Revenues USD]]*BS20/tblSOW7[[#This Row],[Duration]]</f>
        <v>1424.0927618434321</v>
      </c>
      <c r="AJ20" s="74">
        <f>tblSOW7[[#This Row],[FTE Cost]]*tblSOW7[[#This Row],[% work on project]]*AV20/tblSOW7[[#This Row],[Duration]]+tblSOW7[[#This Row],[Task Cost]]*BH20+tblSOW7[[#This Row],[External Expenses/Revenues USD]]*BT20/tblSOW7[[#This Row],[Duration]]</f>
        <v>1424.0927618434321</v>
      </c>
      <c r="AK20" s="74">
        <f t="shared" si="1"/>
        <v>0</v>
      </c>
      <c r="AL20" s="74">
        <f t="shared" si="1"/>
        <v>0</v>
      </c>
      <c r="AM20" s="74">
        <f t="shared" si="1"/>
        <v>0</v>
      </c>
      <c r="AN20" s="74">
        <f t="shared" si="1"/>
        <v>0</v>
      </c>
      <c r="AO20" s="74">
        <f t="shared" si="1"/>
        <v>0</v>
      </c>
      <c r="AP20" s="74">
        <f t="shared" si="1"/>
        <v>0</v>
      </c>
      <c r="AQ20" s="74">
        <f t="shared" si="1"/>
        <v>0</v>
      </c>
      <c r="AR20" s="74">
        <f t="shared" si="1"/>
        <v>0</v>
      </c>
      <c r="AS20" s="74">
        <f t="shared" si="1"/>
        <v>0</v>
      </c>
      <c r="AT20" s="74">
        <f t="shared" si="1"/>
        <v>1</v>
      </c>
      <c r="AU20" s="74">
        <f t="shared" si="1"/>
        <v>1</v>
      </c>
      <c r="AV20" s="74">
        <f t="shared" si="1"/>
        <v>1</v>
      </c>
      <c r="AW20" s="74">
        <f t="shared" si="2"/>
        <v>0</v>
      </c>
      <c r="AX20" s="74">
        <f t="shared" si="2"/>
        <v>0</v>
      </c>
      <c r="AY20" s="74">
        <f t="shared" si="2"/>
        <v>0</v>
      </c>
      <c r="AZ20" s="74">
        <f t="shared" si="2"/>
        <v>0</v>
      </c>
      <c r="BA20" s="74">
        <f t="shared" si="2"/>
        <v>0</v>
      </c>
      <c r="BB20" s="74">
        <f t="shared" si="2"/>
        <v>0</v>
      </c>
      <c r="BC20" s="74">
        <f t="shared" si="2"/>
        <v>0</v>
      </c>
      <c r="BD20" s="74">
        <f t="shared" si="2"/>
        <v>0</v>
      </c>
      <c r="BE20" s="74">
        <f t="shared" si="2"/>
        <v>0</v>
      </c>
      <c r="BF20" s="74">
        <f t="shared" si="2"/>
        <v>1.6666666666666667</v>
      </c>
      <c r="BG20" s="74">
        <f t="shared" si="2"/>
        <v>1.6666666666666667</v>
      </c>
      <c r="BH20" s="74">
        <f t="shared" si="2"/>
        <v>1.6666666666666667</v>
      </c>
      <c r="BI20" s="74">
        <f t="shared" si="3"/>
        <v>0</v>
      </c>
      <c r="BJ20" s="74">
        <f t="shared" si="3"/>
        <v>0</v>
      </c>
      <c r="BK20" s="74">
        <f t="shared" si="3"/>
        <v>0</v>
      </c>
      <c r="BL20" s="74">
        <f t="shared" si="3"/>
        <v>0</v>
      </c>
      <c r="BM20" s="74">
        <f t="shared" si="3"/>
        <v>0</v>
      </c>
      <c r="BN20" s="74">
        <f t="shared" si="3"/>
        <v>0</v>
      </c>
      <c r="BO20" s="74">
        <f t="shared" si="3"/>
        <v>0</v>
      </c>
      <c r="BP20" s="74">
        <f t="shared" si="3"/>
        <v>0</v>
      </c>
      <c r="BQ20" s="74">
        <f t="shared" si="3"/>
        <v>0</v>
      </c>
      <c r="BR20" s="74">
        <f t="shared" si="3"/>
        <v>1</v>
      </c>
      <c r="BS20" s="74">
        <f t="shared" si="3"/>
        <v>1</v>
      </c>
      <c r="BT20" s="74">
        <f t="shared" si="3"/>
        <v>1</v>
      </c>
      <c r="BU20" s="74">
        <f>SUM(tblSOW7[[#This Row],[P1]:[P12]])</f>
        <v>3</v>
      </c>
      <c r="BV20" s="74">
        <f xml:space="preserve"> IF(AND(ISNUMBER(SEARCH("-E000",tblSOW7[[#This Row],[Budget Item]])), ISERROR(VLOOKUP(tblSOW7[[#This Row],[Employee name ]],[29]Parameters!CP:DH,19,0))),VLOOKUP(tblSOW7[[#This Row],[Employee name ]],[29]Parameters!CP:DH,19,0),IFERROR(VLOOKUP(tblSOW7[[#This Row],[Employee name ]],[29]Parameters!CP:DH,19,0),0))</f>
        <v>0</v>
      </c>
      <c r="BW20" s="74">
        <f>IFERROR(VLOOKUP(K20,[29]Parameters!BN:BW,10,0),0)</f>
        <v>854.45565710605922</v>
      </c>
    </row>
    <row r="21" spans="1:75" s="75" customFormat="1">
      <c r="A21" s="67" t="str">
        <f>CONCATENATE(INDEX([29]Parameters!$U$1:$V$20,MATCH(C21,[29]Parameters!$V$1:$V$20,0),1),"/",VLOOKUP(D21,[29]Parameters!$CG$1:$CH$12,2,0),".",E21,".",H21,".",LEFT(J21,3),"-",LEFT(K21,4))</f>
        <v>B70/20.P252.405.950-T103</v>
      </c>
      <c r="B21" s="67" t="s">
        <v>123</v>
      </c>
      <c r="C21" s="67" t="s">
        <v>123</v>
      </c>
      <c r="D21" s="39" t="s">
        <v>95</v>
      </c>
      <c r="E21" s="40" t="str">
        <f>VLOOKUP(F21,[29]Parameters!P:T,4,0)</f>
        <v>P252</v>
      </c>
      <c r="F21" s="39" t="s">
        <v>124</v>
      </c>
      <c r="G21" s="67"/>
      <c r="H21" s="67">
        <f>INDEX([29]Parameters!$B:$C,MATCH(I21,[29]Parameters!$C:$C,0),1)</f>
        <v>405</v>
      </c>
      <c r="I21" s="68" t="s">
        <v>98</v>
      </c>
      <c r="J21" s="68" t="s">
        <v>94</v>
      </c>
      <c r="K21" s="68" t="s">
        <v>99</v>
      </c>
      <c r="L21" s="68" t="str">
        <f>IFERROR(VLOOKUP(tblSOW7[[#This Row],[Employee name ]],[29]Parameters!CP:CS,4,0),"")</f>
        <v/>
      </c>
      <c r="M21" s="69"/>
      <c r="N21" s="67" t="s">
        <v>145</v>
      </c>
      <c r="O21" s="76"/>
      <c r="P21" s="72">
        <v>45200</v>
      </c>
      <c r="Q21" s="72">
        <v>45291</v>
      </c>
      <c r="R21" s="67"/>
      <c r="S21" s="67">
        <f t="shared" si="0"/>
        <v>3</v>
      </c>
      <c r="T21" s="68"/>
      <c r="U21" s="68">
        <v>7</v>
      </c>
      <c r="V21" s="68"/>
      <c r="W21" s="68"/>
      <c r="X21" s="67">
        <f>SUM(tblSOW7[[#This Row],[Jan 2023 USD]:[Dec 2023 USD]])</f>
        <v>5981.1895997424153</v>
      </c>
      <c r="Y21" s="74">
        <f>tblSOW7[[#This Row],[FTE Cost]]*tblSOW7[[#This Row],[% work on project]]*AK21/tblSOW7[[#This Row],[Duration]]+tblSOW7[[#This Row],[Task Cost]]*AW21+tblSOW7[[#This Row],[External Expenses/Revenues USD]]*BI21/tblSOW7[[#This Row],[Duration]]</f>
        <v>0</v>
      </c>
      <c r="Z21" s="74">
        <f>tblSOW7[[#This Row],[FTE Cost]]*tblSOW7[[#This Row],[% work on project]]*AL21/tblSOW7[[#This Row],[Duration]]+tblSOW7[[#This Row],[Task Cost]]*AX21+tblSOW7[[#This Row],[External Expenses/Revenues USD]]*BJ21/tblSOW7[[#This Row],[Duration]]</f>
        <v>0</v>
      </c>
      <c r="AA21" s="74">
        <f>tblSOW7[[#This Row],[FTE Cost]]*tblSOW7[[#This Row],[% work on project]]*AM21/tblSOW7[[#This Row],[Duration]]+tblSOW7[[#This Row],[Task Cost]]*AY21+tblSOW7[[#This Row],[External Expenses/Revenues USD]]*BK21/tblSOW7[[#This Row],[Duration]]</f>
        <v>0</v>
      </c>
      <c r="AB21" s="74">
        <f>tblSOW7[[#This Row],[FTE Cost]]*tblSOW7[[#This Row],[% work on project]]*AN21/tblSOW7[[#This Row],[Duration]]+tblSOW7[[#This Row],[Task Cost]]*AZ21+tblSOW7[[#This Row],[External Expenses/Revenues USD]]*BL21/tblSOW7[[#This Row],[Duration]]</f>
        <v>0</v>
      </c>
      <c r="AC21" s="74">
        <f>tblSOW7[[#This Row],[FTE Cost]]*tblSOW7[[#This Row],[% work on project]]*AO21/tblSOW7[[#This Row],[Duration]]+tblSOW7[[#This Row],[Task Cost]]*BA21+tblSOW7[[#This Row],[External Expenses/Revenues USD]]*BM21/tblSOW7[[#This Row],[Duration]]</f>
        <v>0</v>
      </c>
      <c r="AD21" s="74">
        <f>tblSOW7[[#This Row],[FTE Cost]]*tblSOW7[[#This Row],[% work on project]]*AP21/tblSOW7[[#This Row],[Duration]]+tblSOW7[[#This Row],[Task Cost]]*BB21+tblSOW7[[#This Row],[External Expenses/Revenues USD]]*BN21/tblSOW7[[#This Row],[Duration]]</f>
        <v>0</v>
      </c>
      <c r="AE21" s="74">
        <f>tblSOW7[[#This Row],[FTE Cost]]*tblSOW7[[#This Row],[% work on project]]*AQ21/tblSOW7[[#This Row],[Duration]]+tblSOW7[[#This Row],[Task Cost]]*BC21+tblSOW7[[#This Row],[External Expenses/Revenues USD]]*BO21/tblSOW7[[#This Row],[Duration]]</f>
        <v>0</v>
      </c>
      <c r="AF21" s="74">
        <f>tblSOW7[[#This Row],[FTE Cost]]*tblSOW7[[#This Row],[% work on project]]*AR21/tblSOW7[[#This Row],[Duration]]+tblSOW7[[#This Row],[Task Cost]]*BD21+tblSOW7[[#This Row],[External Expenses/Revenues USD]]*BP21/tblSOW7[[#This Row],[Duration]]</f>
        <v>0</v>
      </c>
      <c r="AG21" s="74">
        <f>tblSOW7[[#This Row],[FTE Cost]]*tblSOW7[[#This Row],[% work on project]]*AS21/tblSOW7[[#This Row],[Duration]]+tblSOW7[[#This Row],[Task Cost]]*BE21+tblSOW7[[#This Row],[External Expenses/Revenues USD]]*BQ21/tblSOW7[[#This Row],[Duration]]</f>
        <v>0</v>
      </c>
      <c r="AH21" s="74">
        <f>tblSOW7[[#This Row],[FTE Cost]]*tblSOW7[[#This Row],[% work on project]]*AT21/tblSOW7[[#This Row],[Duration]]+tblSOW7[[#This Row],[Task Cost]]*BF21+tblSOW7[[#This Row],[External Expenses/Revenues USD]]*BR21/tblSOW7[[#This Row],[Duration]]</f>
        <v>1993.729866580805</v>
      </c>
      <c r="AI21" s="74">
        <f>tblSOW7[[#This Row],[FTE Cost]]*tblSOW7[[#This Row],[% work on project]]*AU21/tblSOW7[[#This Row],[Duration]]+tblSOW7[[#This Row],[Task Cost]]*BG21+tblSOW7[[#This Row],[External Expenses/Revenues USD]]*BS21/tblSOW7[[#This Row],[Duration]]</f>
        <v>1993.729866580805</v>
      </c>
      <c r="AJ21" s="74">
        <f>tblSOW7[[#This Row],[FTE Cost]]*tblSOW7[[#This Row],[% work on project]]*AV21/tblSOW7[[#This Row],[Duration]]+tblSOW7[[#This Row],[Task Cost]]*BH21+tblSOW7[[#This Row],[External Expenses/Revenues USD]]*BT21/tblSOW7[[#This Row],[Duration]]</f>
        <v>1993.729866580805</v>
      </c>
      <c r="AK21" s="74">
        <f t="shared" si="1"/>
        <v>0</v>
      </c>
      <c r="AL21" s="74">
        <f t="shared" si="1"/>
        <v>0</v>
      </c>
      <c r="AM21" s="74">
        <f t="shared" si="1"/>
        <v>0</v>
      </c>
      <c r="AN21" s="74">
        <f t="shared" ref="AN21:AV24" si="4">$S21/$BU21*BL21</f>
        <v>0</v>
      </c>
      <c r="AO21" s="74">
        <f t="shared" si="4"/>
        <v>0</v>
      </c>
      <c r="AP21" s="74">
        <f t="shared" si="4"/>
        <v>0</v>
      </c>
      <c r="AQ21" s="74">
        <f t="shared" si="4"/>
        <v>0</v>
      </c>
      <c r="AR21" s="74">
        <f t="shared" si="4"/>
        <v>0</v>
      </c>
      <c r="AS21" s="74">
        <f t="shared" si="4"/>
        <v>0</v>
      </c>
      <c r="AT21" s="74">
        <f t="shared" si="4"/>
        <v>1</v>
      </c>
      <c r="AU21" s="74">
        <f t="shared" si="4"/>
        <v>1</v>
      </c>
      <c r="AV21" s="74">
        <f t="shared" si="4"/>
        <v>1</v>
      </c>
      <c r="AW21" s="74">
        <f t="shared" si="2"/>
        <v>0</v>
      </c>
      <c r="AX21" s="74">
        <f t="shared" si="2"/>
        <v>0</v>
      </c>
      <c r="AY21" s="74">
        <f t="shared" si="2"/>
        <v>0</v>
      </c>
      <c r="AZ21" s="74">
        <f t="shared" ref="AZ21:BH24" si="5">$U21/$BU21*BL21</f>
        <v>0</v>
      </c>
      <c r="BA21" s="74">
        <f t="shared" si="5"/>
        <v>0</v>
      </c>
      <c r="BB21" s="74">
        <f t="shared" si="5"/>
        <v>0</v>
      </c>
      <c r="BC21" s="74">
        <f t="shared" si="5"/>
        <v>0</v>
      </c>
      <c r="BD21" s="74">
        <f t="shared" si="5"/>
        <v>0</v>
      </c>
      <c r="BE21" s="74">
        <f t="shared" si="5"/>
        <v>0</v>
      </c>
      <c r="BF21" s="74">
        <f t="shared" si="5"/>
        <v>2.3333333333333335</v>
      </c>
      <c r="BG21" s="74">
        <f t="shared" si="5"/>
        <v>2.3333333333333335</v>
      </c>
      <c r="BH21" s="74">
        <f t="shared" si="5"/>
        <v>2.3333333333333335</v>
      </c>
      <c r="BI21" s="74">
        <f t="shared" si="3"/>
        <v>0</v>
      </c>
      <c r="BJ21" s="74">
        <f t="shared" si="3"/>
        <v>0</v>
      </c>
      <c r="BK21" s="74">
        <f t="shared" si="3"/>
        <v>0</v>
      </c>
      <c r="BL21" s="74">
        <f t="shared" ref="BI21:BT24" si="6">IF($S21&gt;0,IF(AND(MONTH($P21)&lt;=BL$1,MONTH($Q21)&gt;=BL$1),1,0),0)</f>
        <v>0</v>
      </c>
      <c r="BM21" s="74">
        <f t="shared" si="6"/>
        <v>0</v>
      </c>
      <c r="BN21" s="74">
        <f t="shared" si="6"/>
        <v>0</v>
      </c>
      <c r="BO21" s="74">
        <f t="shared" si="6"/>
        <v>0</v>
      </c>
      <c r="BP21" s="74">
        <f t="shared" si="6"/>
        <v>0</v>
      </c>
      <c r="BQ21" s="74">
        <f t="shared" si="6"/>
        <v>0</v>
      </c>
      <c r="BR21" s="74">
        <f t="shared" si="6"/>
        <v>1</v>
      </c>
      <c r="BS21" s="74">
        <f t="shared" si="6"/>
        <v>1</v>
      </c>
      <c r="BT21" s="74">
        <f t="shared" si="6"/>
        <v>1</v>
      </c>
      <c r="BU21" s="74">
        <f>SUM(tblSOW7[[#This Row],[P1]:[P12]])</f>
        <v>3</v>
      </c>
      <c r="BV21" s="74">
        <f xml:space="preserve"> IF(AND(ISNUMBER(SEARCH("-E000",tblSOW7[[#This Row],[Budget Item]])), ISERROR(VLOOKUP(tblSOW7[[#This Row],[Employee name ]],[29]Parameters!CP:DH,19,0))),VLOOKUP(tblSOW7[[#This Row],[Employee name ]],[29]Parameters!CP:DH,19,0),IFERROR(VLOOKUP(tblSOW7[[#This Row],[Employee name ]],[29]Parameters!CP:DH,19,0),0))</f>
        <v>0</v>
      </c>
      <c r="BW21" s="74">
        <f>IFERROR(VLOOKUP(K21,[29]Parameters!BN:BW,10,0),0)</f>
        <v>854.45565710605922</v>
      </c>
    </row>
    <row r="22" spans="1:75" s="75" customFormat="1">
      <c r="A22" s="67" t="str">
        <f>CONCATENATE(INDEX([29]Parameters!$U$1:$V$20,MATCH(C22,[29]Parameters!$V$1:$V$20,0),1),"/",VLOOKUP(D22,[29]Parameters!$CG$1:$CH$12,2,0),".",E22,".",H22,".",LEFT(J22,3),"-",LEFT(K22,4))</f>
        <v>B70/20.P252.405.950-T103</v>
      </c>
      <c r="B22" s="67" t="s">
        <v>123</v>
      </c>
      <c r="C22" s="67" t="s">
        <v>123</v>
      </c>
      <c r="D22" s="39" t="s">
        <v>95</v>
      </c>
      <c r="E22" s="40" t="str">
        <f>VLOOKUP(F22,[29]Parameters!P:T,4,0)</f>
        <v>P252</v>
      </c>
      <c r="F22" s="39" t="s">
        <v>124</v>
      </c>
      <c r="G22" s="67"/>
      <c r="H22" s="67">
        <f>INDEX([29]Parameters!$B:$C,MATCH(I22,[29]Parameters!$C:$C,0),1)</f>
        <v>405</v>
      </c>
      <c r="I22" s="68" t="s">
        <v>98</v>
      </c>
      <c r="J22" s="68" t="s">
        <v>94</v>
      </c>
      <c r="K22" s="68" t="s">
        <v>99</v>
      </c>
      <c r="L22" s="68" t="str">
        <f>IFERROR(VLOOKUP(tblSOW7[[#This Row],[Employee name ]],[29]Parameters!CP:CS,4,0),"")</f>
        <v/>
      </c>
      <c r="M22" s="69"/>
      <c r="N22" s="67" t="s">
        <v>146</v>
      </c>
      <c r="O22" s="76"/>
      <c r="P22" s="72">
        <v>45200</v>
      </c>
      <c r="Q22" s="72">
        <v>45291</v>
      </c>
      <c r="R22" s="67"/>
      <c r="S22" s="67">
        <f t="shared" si="0"/>
        <v>3</v>
      </c>
      <c r="T22" s="68"/>
      <c r="U22" s="68">
        <v>5</v>
      </c>
      <c r="V22" s="68"/>
      <c r="W22" s="68"/>
      <c r="X22" s="67">
        <f>SUM(tblSOW7[[#This Row],[Jan 2023 USD]:[Dec 2023 USD]])</f>
        <v>4272.2782855302958</v>
      </c>
      <c r="Y22" s="74">
        <f>tblSOW7[[#This Row],[FTE Cost]]*tblSOW7[[#This Row],[% work on project]]*AK22/tblSOW7[[#This Row],[Duration]]+tblSOW7[[#This Row],[Task Cost]]*AW22+tblSOW7[[#This Row],[External Expenses/Revenues USD]]*BI22/tblSOW7[[#This Row],[Duration]]</f>
        <v>0</v>
      </c>
      <c r="Z22" s="74">
        <f>tblSOW7[[#This Row],[FTE Cost]]*tblSOW7[[#This Row],[% work on project]]*AL22/tblSOW7[[#This Row],[Duration]]+tblSOW7[[#This Row],[Task Cost]]*AX22+tblSOW7[[#This Row],[External Expenses/Revenues USD]]*BJ22/tblSOW7[[#This Row],[Duration]]</f>
        <v>0</v>
      </c>
      <c r="AA22" s="74">
        <f>tblSOW7[[#This Row],[FTE Cost]]*tblSOW7[[#This Row],[% work on project]]*AM22/tblSOW7[[#This Row],[Duration]]+tblSOW7[[#This Row],[Task Cost]]*AY22+tblSOW7[[#This Row],[External Expenses/Revenues USD]]*BK22/tblSOW7[[#This Row],[Duration]]</f>
        <v>0</v>
      </c>
      <c r="AB22" s="74">
        <f>tblSOW7[[#This Row],[FTE Cost]]*tblSOW7[[#This Row],[% work on project]]*AN22/tblSOW7[[#This Row],[Duration]]+tblSOW7[[#This Row],[Task Cost]]*AZ22+tblSOW7[[#This Row],[External Expenses/Revenues USD]]*BL22/tblSOW7[[#This Row],[Duration]]</f>
        <v>0</v>
      </c>
      <c r="AC22" s="74">
        <f>tblSOW7[[#This Row],[FTE Cost]]*tblSOW7[[#This Row],[% work on project]]*AO22/tblSOW7[[#This Row],[Duration]]+tblSOW7[[#This Row],[Task Cost]]*BA22+tblSOW7[[#This Row],[External Expenses/Revenues USD]]*BM22/tblSOW7[[#This Row],[Duration]]</f>
        <v>0</v>
      </c>
      <c r="AD22" s="74">
        <f>tblSOW7[[#This Row],[FTE Cost]]*tblSOW7[[#This Row],[% work on project]]*AP22/tblSOW7[[#This Row],[Duration]]+tblSOW7[[#This Row],[Task Cost]]*BB22+tblSOW7[[#This Row],[External Expenses/Revenues USD]]*BN22/tblSOW7[[#This Row],[Duration]]</f>
        <v>0</v>
      </c>
      <c r="AE22" s="74">
        <f>tblSOW7[[#This Row],[FTE Cost]]*tblSOW7[[#This Row],[% work on project]]*AQ22/tblSOW7[[#This Row],[Duration]]+tblSOW7[[#This Row],[Task Cost]]*BC22+tblSOW7[[#This Row],[External Expenses/Revenues USD]]*BO22/tblSOW7[[#This Row],[Duration]]</f>
        <v>0</v>
      </c>
      <c r="AF22" s="74">
        <f>tblSOW7[[#This Row],[FTE Cost]]*tblSOW7[[#This Row],[% work on project]]*AR22/tblSOW7[[#This Row],[Duration]]+tblSOW7[[#This Row],[Task Cost]]*BD22+tblSOW7[[#This Row],[External Expenses/Revenues USD]]*BP22/tblSOW7[[#This Row],[Duration]]</f>
        <v>0</v>
      </c>
      <c r="AG22" s="74">
        <f>tblSOW7[[#This Row],[FTE Cost]]*tblSOW7[[#This Row],[% work on project]]*AS22/tblSOW7[[#This Row],[Duration]]+tblSOW7[[#This Row],[Task Cost]]*BE22+tblSOW7[[#This Row],[External Expenses/Revenues USD]]*BQ22/tblSOW7[[#This Row],[Duration]]</f>
        <v>0</v>
      </c>
      <c r="AH22" s="74">
        <f>tblSOW7[[#This Row],[FTE Cost]]*tblSOW7[[#This Row],[% work on project]]*AT22/tblSOW7[[#This Row],[Duration]]+tblSOW7[[#This Row],[Task Cost]]*BF22+tblSOW7[[#This Row],[External Expenses/Revenues USD]]*BR22/tblSOW7[[#This Row],[Duration]]</f>
        <v>1424.0927618434321</v>
      </c>
      <c r="AI22" s="74">
        <f>tblSOW7[[#This Row],[FTE Cost]]*tblSOW7[[#This Row],[% work on project]]*AU22/tblSOW7[[#This Row],[Duration]]+tblSOW7[[#This Row],[Task Cost]]*BG22+tblSOW7[[#This Row],[External Expenses/Revenues USD]]*BS22/tblSOW7[[#This Row],[Duration]]</f>
        <v>1424.0927618434321</v>
      </c>
      <c r="AJ22" s="74">
        <f>tblSOW7[[#This Row],[FTE Cost]]*tblSOW7[[#This Row],[% work on project]]*AV22/tblSOW7[[#This Row],[Duration]]+tblSOW7[[#This Row],[Task Cost]]*BH22+tblSOW7[[#This Row],[External Expenses/Revenues USD]]*BT22/tblSOW7[[#This Row],[Duration]]</f>
        <v>1424.0927618434321</v>
      </c>
      <c r="AK22" s="74">
        <f t="shared" ref="AK22:AV35" si="7">$S22/$BU22*BI22</f>
        <v>0</v>
      </c>
      <c r="AL22" s="74">
        <f t="shared" si="7"/>
        <v>0</v>
      </c>
      <c r="AM22" s="74">
        <f t="shared" si="7"/>
        <v>0</v>
      </c>
      <c r="AN22" s="74">
        <f t="shared" si="4"/>
        <v>0</v>
      </c>
      <c r="AO22" s="74">
        <f t="shared" si="4"/>
        <v>0</v>
      </c>
      <c r="AP22" s="74">
        <f t="shared" si="4"/>
        <v>0</v>
      </c>
      <c r="AQ22" s="74">
        <f t="shared" si="4"/>
        <v>0</v>
      </c>
      <c r="AR22" s="74">
        <f t="shared" si="4"/>
        <v>0</v>
      </c>
      <c r="AS22" s="74">
        <f t="shared" si="4"/>
        <v>0</v>
      </c>
      <c r="AT22" s="74">
        <f t="shared" si="4"/>
        <v>1</v>
      </c>
      <c r="AU22" s="74">
        <f t="shared" si="4"/>
        <v>1</v>
      </c>
      <c r="AV22" s="74">
        <f t="shared" si="4"/>
        <v>1</v>
      </c>
      <c r="AW22" s="74">
        <f t="shared" ref="AW22:BH35" si="8">$U22/$BU22*BI22</f>
        <v>0</v>
      </c>
      <c r="AX22" s="74">
        <f t="shared" si="8"/>
        <v>0</v>
      </c>
      <c r="AY22" s="74">
        <f t="shared" si="8"/>
        <v>0</v>
      </c>
      <c r="AZ22" s="74">
        <f t="shared" si="5"/>
        <v>0</v>
      </c>
      <c r="BA22" s="74">
        <f t="shared" si="5"/>
        <v>0</v>
      </c>
      <c r="BB22" s="74">
        <f t="shared" si="5"/>
        <v>0</v>
      </c>
      <c r="BC22" s="74">
        <f t="shared" si="5"/>
        <v>0</v>
      </c>
      <c r="BD22" s="74">
        <f t="shared" si="5"/>
        <v>0</v>
      </c>
      <c r="BE22" s="74">
        <f t="shared" si="5"/>
        <v>0</v>
      </c>
      <c r="BF22" s="74">
        <f t="shared" si="5"/>
        <v>1.6666666666666667</v>
      </c>
      <c r="BG22" s="74">
        <f t="shared" si="5"/>
        <v>1.6666666666666667</v>
      </c>
      <c r="BH22" s="74">
        <f t="shared" si="5"/>
        <v>1.6666666666666667</v>
      </c>
      <c r="BI22" s="74">
        <f t="shared" si="6"/>
        <v>0</v>
      </c>
      <c r="BJ22" s="74">
        <f t="shared" si="6"/>
        <v>0</v>
      </c>
      <c r="BK22" s="74">
        <f t="shared" si="6"/>
        <v>0</v>
      </c>
      <c r="BL22" s="74">
        <f t="shared" si="6"/>
        <v>0</v>
      </c>
      <c r="BM22" s="74">
        <f t="shared" si="6"/>
        <v>0</v>
      </c>
      <c r="BN22" s="74">
        <f t="shared" si="6"/>
        <v>0</v>
      </c>
      <c r="BO22" s="74">
        <f t="shared" si="6"/>
        <v>0</v>
      </c>
      <c r="BP22" s="74">
        <f t="shared" si="6"/>
        <v>0</v>
      </c>
      <c r="BQ22" s="74">
        <f t="shared" si="6"/>
        <v>0</v>
      </c>
      <c r="BR22" s="74">
        <f t="shared" si="6"/>
        <v>1</v>
      </c>
      <c r="BS22" s="74">
        <f t="shared" si="6"/>
        <v>1</v>
      </c>
      <c r="BT22" s="74">
        <f t="shared" si="6"/>
        <v>1</v>
      </c>
      <c r="BU22" s="74">
        <f>SUM(tblSOW7[[#This Row],[P1]:[P12]])</f>
        <v>3</v>
      </c>
      <c r="BV22" s="74">
        <f xml:space="preserve"> IF(AND(ISNUMBER(SEARCH("-E000",tblSOW7[[#This Row],[Budget Item]])), ISERROR(VLOOKUP(tblSOW7[[#This Row],[Employee name ]],[29]Parameters!CP:DH,19,0))),VLOOKUP(tblSOW7[[#This Row],[Employee name ]],[29]Parameters!CP:DH,19,0),IFERROR(VLOOKUP(tblSOW7[[#This Row],[Employee name ]],[29]Parameters!CP:DH,19,0),0))</f>
        <v>0</v>
      </c>
      <c r="BW22" s="74">
        <f>IFERROR(VLOOKUP(K22,[29]Parameters!BN:BW,10,0),0)</f>
        <v>854.45565710605922</v>
      </c>
    </row>
    <row r="23" spans="1:75" s="75" customFormat="1">
      <c r="A23" s="67" t="str">
        <f>CONCATENATE(INDEX([29]Parameters!$U$1:$V$20,MATCH(C23,[29]Parameters!$V$1:$V$20,0),1),"/",VLOOKUP(D23,[29]Parameters!$CG$1:$CH$12,2,0),".",E23,".",H23,".",LEFT(J23,3),"-",LEFT(K23,4))</f>
        <v>B70/20.P252.427.950-T109</v>
      </c>
      <c r="B23" s="67" t="s">
        <v>123</v>
      </c>
      <c r="C23" s="67" t="s">
        <v>123</v>
      </c>
      <c r="D23" s="39" t="s">
        <v>95</v>
      </c>
      <c r="E23" s="40" t="str">
        <f>VLOOKUP(F23,[29]Parameters!P:T,4,0)</f>
        <v>P252</v>
      </c>
      <c r="F23" s="39" t="s">
        <v>124</v>
      </c>
      <c r="G23" s="67"/>
      <c r="H23" s="67">
        <f>INDEX([29]Parameters!$B:$C,MATCH(I23,[29]Parameters!$C:$C,0),1)</f>
        <v>427</v>
      </c>
      <c r="I23" s="68" t="s">
        <v>104</v>
      </c>
      <c r="J23" s="68" t="s">
        <v>94</v>
      </c>
      <c r="K23" s="68" t="s">
        <v>105</v>
      </c>
      <c r="L23" s="68" t="str">
        <f>IFERROR(VLOOKUP(tblSOW7[[#This Row],[Employee name ]],[29]Parameters!CP:CS,4,0),"")</f>
        <v/>
      </c>
      <c r="M23" s="69"/>
      <c r="N23" s="67" t="s">
        <v>143</v>
      </c>
      <c r="O23" s="76"/>
      <c r="P23" s="72">
        <v>45200</v>
      </c>
      <c r="Q23" s="72">
        <v>45291</v>
      </c>
      <c r="R23" s="67"/>
      <c r="S23" s="67">
        <f t="shared" si="0"/>
        <v>3</v>
      </c>
      <c r="T23" s="68"/>
      <c r="U23" s="68">
        <v>2</v>
      </c>
      <c r="V23" s="68"/>
      <c r="W23" s="68"/>
      <c r="X23" s="67">
        <f>SUM(tblSOW7[[#This Row],[Jan 2023 USD]:[Dec 2023 USD]])</f>
        <v>1654.8864134118219</v>
      </c>
      <c r="Y23" s="74">
        <f>tblSOW7[[#This Row],[FTE Cost]]*tblSOW7[[#This Row],[% work on project]]*AK23/tblSOW7[[#This Row],[Duration]]+tblSOW7[[#This Row],[Task Cost]]*AW23+tblSOW7[[#This Row],[External Expenses/Revenues USD]]*BI23/tblSOW7[[#This Row],[Duration]]</f>
        <v>0</v>
      </c>
      <c r="Z23" s="74">
        <f>tblSOW7[[#This Row],[FTE Cost]]*tblSOW7[[#This Row],[% work on project]]*AL23/tblSOW7[[#This Row],[Duration]]+tblSOW7[[#This Row],[Task Cost]]*AX23+tblSOW7[[#This Row],[External Expenses/Revenues USD]]*BJ23/tblSOW7[[#This Row],[Duration]]</f>
        <v>0</v>
      </c>
      <c r="AA23" s="74">
        <f>tblSOW7[[#This Row],[FTE Cost]]*tblSOW7[[#This Row],[% work on project]]*AM23/tblSOW7[[#This Row],[Duration]]+tblSOW7[[#This Row],[Task Cost]]*AY23+tblSOW7[[#This Row],[External Expenses/Revenues USD]]*BK23/tblSOW7[[#This Row],[Duration]]</f>
        <v>0</v>
      </c>
      <c r="AB23" s="74">
        <f>tblSOW7[[#This Row],[FTE Cost]]*tblSOW7[[#This Row],[% work on project]]*AN23/tblSOW7[[#This Row],[Duration]]+tblSOW7[[#This Row],[Task Cost]]*AZ23+tblSOW7[[#This Row],[External Expenses/Revenues USD]]*BL23/tblSOW7[[#This Row],[Duration]]</f>
        <v>0</v>
      </c>
      <c r="AC23" s="74">
        <f>tblSOW7[[#This Row],[FTE Cost]]*tblSOW7[[#This Row],[% work on project]]*AO23/tblSOW7[[#This Row],[Duration]]+tblSOW7[[#This Row],[Task Cost]]*BA23+tblSOW7[[#This Row],[External Expenses/Revenues USD]]*BM23/tblSOW7[[#This Row],[Duration]]</f>
        <v>0</v>
      </c>
      <c r="AD23" s="74">
        <f>tblSOW7[[#This Row],[FTE Cost]]*tblSOW7[[#This Row],[% work on project]]*AP23/tblSOW7[[#This Row],[Duration]]+tblSOW7[[#This Row],[Task Cost]]*BB23+tblSOW7[[#This Row],[External Expenses/Revenues USD]]*BN23/tblSOW7[[#This Row],[Duration]]</f>
        <v>0</v>
      </c>
      <c r="AE23" s="74">
        <f>tblSOW7[[#This Row],[FTE Cost]]*tblSOW7[[#This Row],[% work on project]]*AQ23/tblSOW7[[#This Row],[Duration]]+tblSOW7[[#This Row],[Task Cost]]*BC23+tblSOW7[[#This Row],[External Expenses/Revenues USD]]*BO23/tblSOW7[[#This Row],[Duration]]</f>
        <v>0</v>
      </c>
      <c r="AF23" s="74">
        <f>tblSOW7[[#This Row],[FTE Cost]]*tblSOW7[[#This Row],[% work on project]]*AR23/tblSOW7[[#This Row],[Duration]]+tblSOW7[[#This Row],[Task Cost]]*BD23+tblSOW7[[#This Row],[External Expenses/Revenues USD]]*BP23/tblSOW7[[#This Row],[Duration]]</f>
        <v>0</v>
      </c>
      <c r="AG23" s="74">
        <f>tblSOW7[[#This Row],[FTE Cost]]*tblSOW7[[#This Row],[% work on project]]*AS23/tblSOW7[[#This Row],[Duration]]+tblSOW7[[#This Row],[Task Cost]]*BE23+tblSOW7[[#This Row],[External Expenses/Revenues USD]]*BQ23/tblSOW7[[#This Row],[Duration]]</f>
        <v>0</v>
      </c>
      <c r="AH23" s="74">
        <f>tblSOW7[[#This Row],[FTE Cost]]*tblSOW7[[#This Row],[% work on project]]*AT23/tblSOW7[[#This Row],[Duration]]+tblSOW7[[#This Row],[Task Cost]]*BF23+tblSOW7[[#This Row],[External Expenses/Revenues USD]]*BR23/tblSOW7[[#This Row],[Duration]]</f>
        <v>551.62880447060729</v>
      </c>
      <c r="AI23" s="74">
        <f>tblSOW7[[#This Row],[FTE Cost]]*tblSOW7[[#This Row],[% work on project]]*AU23/tblSOW7[[#This Row],[Duration]]+tblSOW7[[#This Row],[Task Cost]]*BG23+tblSOW7[[#This Row],[External Expenses/Revenues USD]]*BS23/tblSOW7[[#This Row],[Duration]]</f>
        <v>551.62880447060729</v>
      </c>
      <c r="AJ23" s="74">
        <f>tblSOW7[[#This Row],[FTE Cost]]*tblSOW7[[#This Row],[% work on project]]*AV23/tblSOW7[[#This Row],[Duration]]+tblSOW7[[#This Row],[Task Cost]]*BH23+tblSOW7[[#This Row],[External Expenses/Revenues USD]]*BT23/tblSOW7[[#This Row],[Duration]]</f>
        <v>551.62880447060729</v>
      </c>
      <c r="AK23" s="74">
        <f t="shared" si="7"/>
        <v>0</v>
      </c>
      <c r="AL23" s="74">
        <f t="shared" si="7"/>
        <v>0</v>
      </c>
      <c r="AM23" s="74">
        <f t="shared" si="7"/>
        <v>0</v>
      </c>
      <c r="AN23" s="74">
        <f t="shared" si="4"/>
        <v>0</v>
      </c>
      <c r="AO23" s="74">
        <f t="shared" si="4"/>
        <v>0</v>
      </c>
      <c r="AP23" s="74">
        <f t="shared" si="4"/>
        <v>0</v>
      </c>
      <c r="AQ23" s="74">
        <f t="shared" si="4"/>
        <v>0</v>
      </c>
      <c r="AR23" s="74">
        <f t="shared" si="4"/>
        <v>0</v>
      </c>
      <c r="AS23" s="74">
        <f t="shared" si="4"/>
        <v>0</v>
      </c>
      <c r="AT23" s="74">
        <f t="shared" si="4"/>
        <v>1</v>
      </c>
      <c r="AU23" s="74">
        <f t="shared" si="4"/>
        <v>1</v>
      </c>
      <c r="AV23" s="74">
        <f t="shared" si="4"/>
        <v>1</v>
      </c>
      <c r="AW23" s="74">
        <f t="shared" si="8"/>
        <v>0</v>
      </c>
      <c r="AX23" s="74">
        <f t="shared" si="8"/>
        <v>0</v>
      </c>
      <c r="AY23" s="74">
        <f t="shared" si="8"/>
        <v>0</v>
      </c>
      <c r="AZ23" s="74">
        <f t="shared" si="5"/>
        <v>0</v>
      </c>
      <c r="BA23" s="74">
        <f t="shared" si="5"/>
        <v>0</v>
      </c>
      <c r="BB23" s="74">
        <f t="shared" si="5"/>
        <v>0</v>
      </c>
      <c r="BC23" s="74">
        <f t="shared" si="5"/>
        <v>0</v>
      </c>
      <c r="BD23" s="74">
        <f t="shared" si="5"/>
        <v>0</v>
      </c>
      <c r="BE23" s="74">
        <f t="shared" si="5"/>
        <v>0</v>
      </c>
      <c r="BF23" s="74">
        <f t="shared" si="5"/>
        <v>0.66666666666666663</v>
      </c>
      <c r="BG23" s="74">
        <f t="shared" si="5"/>
        <v>0.66666666666666663</v>
      </c>
      <c r="BH23" s="74">
        <f t="shared" si="5"/>
        <v>0.66666666666666663</v>
      </c>
      <c r="BI23" s="74">
        <f t="shared" si="6"/>
        <v>0</v>
      </c>
      <c r="BJ23" s="74">
        <f t="shared" si="6"/>
        <v>0</v>
      </c>
      <c r="BK23" s="74">
        <f t="shared" si="6"/>
        <v>0</v>
      </c>
      <c r="BL23" s="74">
        <f t="shared" si="6"/>
        <v>0</v>
      </c>
      <c r="BM23" s="74">
        <f t="shared" si="6"/>
        <v>0</v>
      </c>
      <c r="BN23" s="74">
        <f t="shared" si="6"/>
        <v>0</v>
      </c>
      <c r="BO23" s="74">
        <f t="shared" si="6"/>
        <v>0</v>
      </c>
      <c r="BP23" s="74">
        <f t="shared" si="6"/>
        <v>0</v>
      </c>
      <c r="BQ23" s="74">
        <f t="shared" si="6"/>
        <v>0</v>
      </c>
      <c r="BR23" s="74">
        <f t="shared" si="6"/>
        <v>1</v>
      </c>
      <c r="BS23" s="74">
        <f t="shared" si="6"/>
        <v>1</v>
      </c>
      <c r="BT23" s="74">
        <f t="shared" si="6"/>
        <v>1</v>
      </c>
      <c r="BU23" s="74">
        <f>SUM(tblSOW7[[#This Row],[P1]:[P12]])</f>
        <v>3</v>
      </c>
      <c r="BV23" s="74">
        <f xml:space="preserve"> IF(AND(ISNUMBER(SEARCH("-E000",tblSOW7[[#This Row],[Budget Item]])), ISERROR(VLOOKUP(tblSOW7[[#This Row],[Employee name ]],[29]Parameters!CP:DH,19,0))),VLOOKUP(tblSOW7[[#This Row],[Employee name ]],[29]Parameters!CP:DH,19,0),IFERROR(VLOOKUP(tblSOW7[[#This Row],[Employee name ]],[29]Parameters!CP:DH,19,0),0))</f>
        <v>0</v>
      </c>
      <c r="BW23" s="74">
        <f>IFERROR(VLOOKUP(K23,[29]Parameters!BN:BW,10,0),0)</f>
        <v>827.44320670591105</v>
      </c>
    </row>
    <row r="24" spans="1:75" s="75" customFormat="1">
      <c r="A24" s="67" t="str">
        <f>CONCATENATE(INDEX([29]Parameters!$U$1:$V$20,MATCH(C24,[29]Parameters!$V$1:$V$20,0),1),"/",VLOOKUP(D24,[29]Parameters!$CG$1:$CH$12,2,0),".",E24,".",H24,".",LEFT(J24,3),"-",LEFT(K24,4))</f>
        <v>B70/20.P999.427.950-T109</v>
      </c>
      <c r="B24" s="67" t="s">
        <v>123</v>
      </c>
      <c r="C24" s="67" t="s">
        <v>123</v>
      </c>
      <c r="D24" s="39" t="s">
        <v>95</v>
      </c>
      <c r="E24" s="40" t="str">
        <f>VLOOKUP(F24,[29]Parameters!P:T,4,0)</f>
        <v>P999</v>
      </c>
      <c r="F24" s="39" t="s">
        <v>92</v>
      </c>
      <c r="G24" s="67"/>
      <c r="H24" s="67">
        <f>INDEX([29]Parameters!$B:$C,MATCH(I24,[29]Parameters!$C:$C,0),1)</f>
        <v>427</v>
      </c>
      <c r="I24" s="68" t="s">
        <v>104</v>
      </c>
      <c r="J24" s="68" t="s">
        <v>94</v>
      </c>
      <c r="K24" s="68" t="s">
        <v>105</v>
      </c>
      <c r="L24" s="68" t="str">
        <f>IFERROR(VLOOKUP(tblSOW7[[#This Row],[Employee name ]],[29]Parameters!CP:CS,4,0),"")</f>
        <v/>
      </c>
      <c r="M24" s="69"/>
      <c r="N24" s="67" t="s">
        <v>147</v>
      </c>
      <c r="O24" s="76"/>
      <c r="P24" s="72">
        <v>45078</v>
      </c>
      <c r="Q24" s="72">
        <v>45107</v>
      </c>
      <c r="R24" s="67"/>
      <c r="S24" s="67">
        <f t="shared" si="0"/>
        <v>1</v>
      </c>
      <c r="T24" s="68"/>
      <c r="U24" s="68">
        <v>2</v>
      </c>
      <c r="V24" s="68"/>
      <c r="W24" s="68"/>
      <c r="X24" s="67">
        <f>SUM(tblSOW7[[#This Row],[Jan 2023 USD]:[Dec 2023 USD]])</f>
        <v>1654.8864134118221</v>
      </c>
      <c r="Y24" s="74">
        <f>tblSOW7[[#This Row],[FTE Cost]]*tblSOW7[[#This Row],[% work on project]]*AK24/tblSOW7[[#This Row],[Duration]]+tblSOW7[[#This Row],[Task Cost]]*AW24+tblSOW7[[#This Row],[External Expenses/Revenues USD]]*BI24/tblSOW7[[#This Row],[Duration]]</f>
        <v>0</v>
      </c>
      <c r="Z24" s="74">
        <f>tblSOW7[[#This Row],[FTE Cost]]*tblSOW7[[#This Row],[% work on project]]*AL24/tblSOW7[[#This Row],[Duration]]+tblSOW7[[#This Row],[Task Cost]]*AX24+tblSOW7[[#This Row],[External Expenses/Revenues USD]]*BJ24/tblSOW7[[#This Row],[Duration]]</f>
        <v>0</v>
      </c>
      <c r="AA24" s="74">
        <f>tblSOW7[[#This Row],[FTE Cost]]*tblSOW7[[#This Row],[% work on project]]*AM24/tblSOW7[[#This Row],[Duration]]+tblSOW7[[#This Row],[Task Cost]]*AY24+tblSOW7[[#This Row],[External Expenses/Revenues USD]]*BK24/tblSOW7[[#This Row],[Duration]]</f>
        <v>0</v>
      </c>
      <c r="AB24" s="74">
        <f>tblSOW7[[#This Row],[FTE Cost]]*tblSOW7[[#This Row],[% work on project]]*AN24/tblSOW7[[#This Row],[Duration]]+tblSOW7[[#This Row],[Task Cost]]*AZ24+tblSOW7[[#This Row],[External Expenses/Revenues USD]]*BL24/tblSOW7[[#This Row],[Duration]]</f>
        <v>0</v>
      </c>
      <c r="AC24" s="74">
        <f>tblSOW7[[#This Row],[FTE Cost]]*tblSOW7[[#This Row],[% work on project]]*AO24/tblSOW7[[#This Row],[Duration]]+tblSOW7[[#This Row],[Task Cost]]*BA24+tblSOW7[[#This Row],[External Expenses/Revenues USD]]*BM24/tblSOW7[[#This Row],[Duration]]</f>
        <v>0</v>
      </c>
      <c r="AD24" s="74">
        <f>tblSOW7[[#This Row],[FTE Cost]]*tblSOW7[[#This Row],[% work on project]]*AP24/tblSOW7[[#This Row],[Duration]]+tblSOW7[[#This Row],[Task Cost]]*BB24+tblSOW7[[#This Row],[External Expenses/Revenues USD]]*BN24/tblSOW7[[#This Row],[Duration]]</f>
        <v>1654.8864134118221</v>
      </c>
      <c r="AE24" s="74">
        <f>tblSOW7[[#This Row],[FTE Cost]]*tblSOW7[[#This Row],[% work on project]]*AQ24/tblSOW7[[#This Row],[Duration]]+tblSOW7[[#This Row],[Task Cost]]*BC24+tblSOW7[[#This Row],[External Expenses/Revenues USD]]*BO24/tblSOW7[[#This Row],[Duration]]</f>
        <v>0</v>
      </c>
      <c r="AF24" s="74">
        <f>tblSOW7[[#This Row],[FTE Cost]]*tblSOW7[[#This Row],[% work on project]]*AR24/tblSOW7[[#This Row],[Duration]]+tblSOW7[[#This Row],[Task Cost]]*BD24+tblSOW7[[#This Row],[External Expenses/Revenues USD]]*BP24/tblSOW7[[#This Row],[Duration]]</f>
        <v>0</v>
      </c>
      <c r="AG24" s="74">
        <f>tblSOW7[[#This Row],[FTE Cost]]*tblSOW7[[#This Row],[% work on project]]*AS24/tblSOW7[[#This Row],[Duration]]+tblSOW7[[#This Row],[Task Cost]]*BE24+tblSOW7[[#This Row],[External Expenses/Revenues USD]]*BQ24/tblSOW7[[#This Row],[Duration]]</f>
        <v>0</v>
      </c>
      <c r="AH24" s="74">
        <f>tblSOW7[[#This Row],[FTE Cost]]*tblSOW7[[#This Row],[% work on project]]*AT24/tblSOW7[[#This Row],[Duration]]+tblSOW7[[#This Row],[Task Cost]]*BF24+tblSOW7[[#This Row],[External Expenses/Revenues USD]]*BR24/tblSOW7[[#This Row],[Duration]]</f>
        <v>0</v>
      </c>
      <c r="AI24" s="74">
        <f>tblSOW7[[#This Row],[FTE Cost]]*tblSOW7[[#This Row],[% work on project]]*AU24/tblSOW7[[#This Row],[Duration]]+tblSOW7[[#This Row],[Task Cost]]*BG24+tblSOW7[[#This Row],[External Expenses/Revenues USD]]*BS24/tblSOW7[[#This Row],[Duration]]</f>
        <v>0</v>
      </c>
      <c r="AJ24" s="74">
        <f>tblSOW7[[#This Row],[FTE Cost]]*tblSOW7[[#This Row],[% work on project]]*AV24/tblSOW7[[#This Row],[Duration]]+tblSOW7[[#This Row],[Task Cost]]*BH24+tblSOW7[[#This Row],[External Expenses/Revenues USD]]*BT24/tblSOW7[[#This Row],[Duration]]</f>
        <v>0</v>
      </c>
      <c r="AK24" s="74">
        <f t="shared" si="7"/>
        <v>0</v>
      </c>
      <c r="AL24" s="74">
        <f t="shared" si="7"/>
        <v>0</v>
      </c>
      <c r="AM24" s="74">
        <f t="shared" si="7"/>
        <v>0</v>
      </c>
      <c r="AN24" s="74">
        <f t="shared" si="4"/>
        <v>0</v>
      </c>
      <c r="AO24" s="74">
        <f t="shared" si="4"/>
        <v>0</v>
      </c>
      <c r="AP24" s="74">
        <f t="shared" si="4"/>
        <v>1</v>
      </c>
      <c r="AQ24" s="74">
        <f t="shared" si="4"/>
        <v>0</v>
      </c>
      <c r="AR24" s="74">
        <f t="shared" si="4"/>
        <v>0</v>
      </c>
      <c r="AS24" s="74">
        <f t="shared" si="4"/>
        <v>0</v>
      </c>
      <c r="AT24" s="74">
        <f t="shared" si="4"/>
        <v>0</v>
      </c>
      <c r="AU24" s="74">
        <f t="shared" si="4"/>
        <v>0</v>
      </c>
      <c r="AV24" s="74">
        <f t="shared" si="4"/>
        <v>0</v>
      </c>
      <c r="AW24" s="74">
        <f t="shared" si="8"/>
        <v>0</v>
      </c>
      <c r="AX24" s="74">
        <f t="shared" si="8"/>
        <v>0</v>
      </c>
      <c r="AY24" s="74">
        <f t="shared" si="8"/>
        <v>0</v>
      </c>
      <c r="AZ24" s="74">
        <f t="shared" si="5"/>
        <v>0</v>
      </c>
      <c r="BA24" s="74">
        <f t="shared" si="5"/>
        <v>0</v>
      </c>
      <c r="BB24" s="74">
        <f t="shared" si="5"/>
        <v>2</v>
      </c>
      <c r="BC24" s="74">
        <f t="shared" si="5"/>
        <v>0</v>
      </c>
      <c r="BD24" s="74">
        <f t="shared" si="5"/>
        <v>0</v>
      </c>
      <c r="BE24" s="74">
        <f t="shared" si="5"/>
        <v>0</v>
      </c>
      <c r="BF24" s="74">
        <f t="shared" si="5"/>
        <v>0</v>
      </c>
      <c r="BG24" s="74">
        <f t="shared" si="5"/>
        <v>0</v>
      </c>
      <c r="BH24" s="74">
        <f t="shared" si="5"/>
        <v>0</v>
      </c>
      <c r="BI24" s="74">
        <f t="shared" si="6"/>
        <v>0</v>
      </c>
      <c r="BJ24" s="74">
        <f t="shared" si="6"/>
        <v>0</v>
      </c>
      <c r="BK24" s="74">
        <f t="shared" si="6"/>
        <v>0</v>
      </c>
      <c r="BL24" s="74">
        <f t="shared" si="6"/>
        <v>0</v>
      </c>
      <c r="BM24" s="74">
        <f t="shared" si="6"/>
        <v>0</v>
      </c>
      <c r="BN24" s="74">
        <f t="shared" si="6"/>
        <v>1</v>
      </c>
      <c r="BO24" s="74">
        <f t="shared" si="6"/>
        <v>0</v>
      </c>
      <c r="BP24" s="74">
        <f t="shared" si="6"/>
        <v>0</v>
      </c>
      <c r="BQ24" s="74">
        <f t="shared" si="6"/>
        <v>0</v>
      </c>
      <c r="BR24" s="74">
        <f t="shared" si="6"/>
        <v>0</v>
      </c>
      <c r="BS24" s="74">
        <f t="shared" si="6"/>
        <v>0</v>
      </c>
      <c r="BT24" s="74">
        <f t="shared" si="6"/>
        <v>0</v>
      </c>
      <c r="BU24" s="74">
        <f>SUM(tblSOW7[[#This Row],[P1]:[P12]])</f>
        <v>1</v>
      </c>
      <c r="BV24" s="74">
        <f xml:space="preserve"> IF(AND(ISNUMBER(SEARCH("-E000",tblSOW7[[#This Row],[Budget Item]])), ISERROR(VLOOKUP(tblSOW7[[#This Row],[Employee name ]],[29]Parameters!CP:DH,19,0))),VLOOKUP(tblSOW7[[#This Row],[Employee name ]],[29]Parameters!CP:DH,19,0),IFERROR(VLOOKUP(tblSOW7[[#This Row],[Employee name ]],[29]Parameters!CP:DH,19,0),0))</f>
        <v>0</v>
      </c>
      <c r="BW24" s="74">
        <f>IFERROR(VLOOKUP(K24,[29]Parameters!BN:BW,10,0),0)</f>
        <v>827.44320670591105</v>
      </c>
    </row>
    <row r="25" spans="1:75" s="75" customFormat="1">
      <c r="A25" s="67" t="str">
        <f>CONCATENATE(INDEX([29]Parameters!$U$1:$V$20,MATCH(C25,[29]Parameters!$V$1:$V$20,0),1),"/",VLOOKUP(D25,[29]Parameters!$CG$1:$CH$12,2,0),".",E25,".",H25,".",LEFT(J25,3),"-",LEFT(K25,4))</f>
        <v>B70/20.P999.405.950-T103</v>
      </c>
      <c r="B25" s="67" t="s">
        <v>123</v>
      </c>
      <c r="C25" s="67" t="s">
        <v>123</v>
      </c>
      <c r="D25" s="39" t="s">
        <v>95</v>
      </c>
      <c r="E25" s="40" t="str">
        <f>VLOOKUP(F25,[29]Parameters!P:T,4,0)</f>
        <v>P999</v>
      </c>
      <c r="F25" s="39" t="s">
        <v>92</v>
      </c>
      <c r="G25" s="67"/>
      <c r="H25" s="67">
        <f>INDEX([29]Parameters!$B:$C,MATCH(I25,[29]Parameters!$C:$C,0),1)</f>
        <v>405</v>
      </c>
      <c r="I25" s="68" t="s">
        <v>98</v>
      </c>
      <c r="J25" s="68" t="s">
        <v>94</v>
      </c>
      <c r="K25" s="68" t="s">
        <v>99</v>
      </c>
      <c r="L25" s="68" t="str">
        <f>IFERROR(VLOOKUP(tblSOW7[[#This Row],[Employee name ]],[29]Parameters!CP:CS,4,0),"")</f>
        <v/>
      </c>
      <c r="M25" s="69"/>
      <c r="N25" s="67" t="s">
        <v>148</v>
      </c>
      <c r="O25" s="76"/>
      <c r="P25" s="72">
        <v>45108</v>
      </c>
      <c r="Q25" s="72">
        <v>45291</v>
      </c>
      <c r="R25" s="67"/>
      <c r="S25" s="67">
        <f t="shared" ref="S25:S29" si="9">IF(OR(P25="",Q25=""),0,MONTH(Q25)-MONTH(P25)+1)</f>
        <v>6</v>
      </c>
      <c r="T25" s="68"/>
      <c r="U25" s="67">
        <v>10</v>
      </c>
      <c r="V25" s="68"/>
      <c r="W25" s="68"/>
      <c r="X25" s="67">
        <f>SUM(tblSOW7[[#This Row],[Jan 2023 USD]:[Dec 2023 USD]])</f>
        <v>8544.5565710605933</v>
      </c>
      <c r="Y25" s="74">
        <f>tblSOW7[[#This Row],[FTE Cost]]*tblSOW7[[#This Row],[% work on project]]*AK25/tblSOW7[[#This Row],[Duration]]+tblSOW7[[#This Row],[Task Cost]]*AW25+tblSOW7[[#This Row],[External Expenses/Revenues USD]]*BI25/tblSOW7[[#This Row],[Duration]]</f>
        <v>0</v>
      </c>
      <c r="Z25" s="74">
        <f>tblSOW7[[#This Row],[FTE Cost]]*tblSOW7[[#This Row],[% work on project]]*AL25/tblSOW7[[#This Row],[Duration]]+tblSOW7[[#This Row],[Task Cost]]*AX25+tblSOW7[[#This Row],[External Expenses/Revenues USD]]*BJ25/tblSOW7[[#This Row],[Duration]]</f>
        <v>0</v>
      </c>
      <c r="AA25" s="74">
        <f>tblSOW7[[#This Row],[FTE Cost]]*tblSOW7[[#This Row],[% work on project]]*AM25/tblSOW7[[#This Row],[Duration]]+tblSOW7[[#This Row],[Task Cost]]*AY25+tblSOW7[[#This Row],[External Expenses/Revenues USD]]*BK25/tblSOW7[[#This Row],[Duration]]</f>
        <v>0</v>
      </c>
      <c r="AB25" s="74">
        <f>tblSOW7[[#This Row],[FTE Cost]]*tblSOW7[[#This Row],[% work on project]]*AN25/tblSOW7[[#This Row],[Duration]]+tblSOW7[[#This Row],[Task Cost]]*AZ25+tblSOW7[[#This Row],[External Expenses/Revenues USD]]*BL25/tblSOW7[[#This Row],[Duration]]</f>
        <v>0</v>
      </c>
      <c r="AC25" s="74">
        <f>tblSOW7[[#This Row],[FTE Cost]]*tblSOW7[[#This Row],[% work on project]]*AO25/tblSOW7[[#This Row],[Duration]]+tblSOW7[[#This Row],[Task Cost]]*BA25+tblSOW7[[#This Row],[External Expenses/Revenues USD]]*BM25/tblSOW7[[#This Row],[Duration]]</f>
        <v>0</v>
      </c>
      <c r="AD25" s="74">
        <f>tblSOW7[[#This Row],[FTE Cost]]*tblSOW7[[#This Row],[% work on project]]*AP25/tblSOW7[[#This Row],[Duration]]+tblSOW7[[#This Row],[Task Cost]]*BB25+tblSOW7[[#This Row],[External Expenses/Revenues USD]]*BN25/tblSOW7[[#This Row],[Duration]]</f>
        <v>0</v>
      </c>
      <c r="AE25" s="74">
        <f>tblSOW7[[#This Row],[FTE Cost]]*tblSOW7[[#This Row],[% work on project]]*AQ25/tblSOW7[[#This Row],[Duration]]+tblSOW7[[#This Row],[Task Cost]]*BC25+tblSOW7[[#This Row],[External Expenses/Revenues USD]]*BO25/tblSOW7[[#This Row],[Duration]]</f>
        <v>1424.0927618434321</v>
      </c>
      <c r="AF25" s="74">
        <f>tblSOW7[[#This Row],[FTE Cost]]*tblSOW7[[#This Row],[% work on project]]*AR25/tblSOW7[[#This Row],[Duration]]+tblSOW7[[#This Row],[Task Cost]]*BD25+tblSOW7[[#This Row],[External Expenses/Revenues USD]]*BP25/tblSOW7[[#This Row],[Duration]]</f>
        <v>1424.0927618434321</v>
      </c>
      <c r="AG25" s="74">
        <f>tblSOW7[[#This Row],[FTE Cost]]*tblSOW7[[#This Row],[% work on project]]*AS25/tblSOW7[[#This Row],[Duration]]+tblSOW7[[#This Row],[Task Cost]]*BE25+tblSOW7[[#This Row],[External Expenses/Revenues USD]]*BQ25/tblSOW7[[#This Row],[Duration]]</f>
        <v>1424.0927618434321</v>
      </c>
      <c r="AH25" s="74">
        <f>tblSOW7[[#This Row],[FTE Cost]]*tblSOW7[[#This Row],[% work on project]]*AT25/tblSOW7[[#This Row],[Duration]]+tblSOW7[[#This Row],[Task Cost]]*BF25+tblSOW7[[#This Row],[External Expenses/Revenues USD]]*BR25/tblSOW7[[#This Row],[Duration]]</f>
        <v>1424.0927618434321</v>
      </c>
      <c r="AI25" s="74">
        <f>tblSOW7[[#This Row],[FTE Cost]]*tblSOW7[[#This Row],[% work on project]]*AU25/tblSOW7[[#This Row],[Duration]]+tblSOW7[[#This Row],[Task Cost]]*BG25+tblSOW7[[#This Row],[External Expenses/Revenues USD]]*BS25/tblSOW7[[#This Row],[Duration]]</f>
        <v>1424.0927618434321</v>
      </c>
      <c r="AJ25" s="74">
        <f>tblSOW7[[#This Row],[FTE Cost]]*tblSOW7[[#This Row],[% work on project]]*AV25/tblSOW7[[#This Row],[Duration]]+tblSOW7[[#This Row],[Task Cost]]*BH25+tblSOW7[[#This Row],[External Expenses/Revenues USD]]*BT25/tblSOW7[[#This Row],[Duration]]</f>
        <v>1424.0927618434321</v>
      </c>
      <c r="AK25" s="74">
        <f t="shared" si="7"/>
        <v>0</v>
      </c>
      <c r="AL25" s="74">
        <f t="shared" si="7"/>
        <v>0</v>
      </c>
      <c r="AM25" s="74">
        <f t="shared" si="7"/>
        <v>0</v>
      </c>
      <c r="AN25" s="74">
        <f t="shared" si="7"/>
        <v>0</v>
      </c>
      <c r="AO25" s="74">
        <f t="shared" si="7"/>
        <v>0</v>
      </c>
      <c r="AP25" s="74">
        <f t="shared" si="7"/>
        <v>0</v>
      </c>
      <c r="AQ25" s="74">
        <f t="shared" si="7"/>
        <v>1</v>
      </c>
      <c r="AR25" s="74">
        <f t="shared" si="7"/>
        <v>1</v>
      </c>
      <c r="AS25" s="74">
        <f t="shared" si="7"/>
        <v>1</v>
      </c>
      <c r="AT25" s="74">
        <f t="shared" si="7"/>
        <v>1</v>
      </c>
      <c r="AU25" s="74">
        <f t="shared" si="7"/>
        <v>1</v>
      </c>
      <c r="AV25" s="74">
        <f t="shared" si="7"/>
        <v>1</v>
      </c>
      <c r="AW25" s="74">
        <f t="shared" si="8"/>
        <v>0</v>
      </c>
      <c r="AX25" s="74">
        <f t="shared" si="8"/>
        <v>0</v>
      </c>
      <c r="AY25" s="74">
        <f t="shared" si="8"/>
        <v>0</v>
      </c>
      <c r="AZ25" s="74">
        <f t="shared" si="8"/>
        <v>0</v>
      </c>
      <c r="BA25" s="74">
        <f t="shared" si="8"/>
        <v>0</v>
      </c>
      <c r="BB25" s="74">
        <f t="shared" si="8"/>
        <v>0</v>
      </c>
      <c r="BC25" s="74">
        <f t="shared" si="8"/>
        <v>1.6666666666666667</v>
      </c>
      <c r="BD25" s="74">
        <f t="shared" si="8"/>
        <v>1.6666666666666667</v>
      </c>
      <c r="BE25" s="74">
        <f t="shared" si="8"/>
        <v>1.6666666666666667</v>
      </c>
      <c r="BF25" s="74">
        <f t="shared" si="8"/>
        <v>1.6666666666666667</v>
      </c>
      <c r="BG25" s="74">
        <f t="shared" si="8"/>
        <v>1.6666666666666667</v>
      </c>
      <c r="BH25" s="74">
        <f t="shared" si="8"/>
        <v>1.6666666666666667</v>
      </c>
      <c r="BI25" s="74">
        <f t="shared" ref="BI25:BT35" si="10">IF($S25&gt;0,IF(AND(MONTH($P25)&lt;=BI$1,MONTH($Q25)&gt;=BI$1),1,0),0)</f>
        <v>0</v>
      </c>
      <c r="BJ25" s="74">
        <f t="shared" si="10"/>
        <v>0</v>
      </c>
      <c r="BK25" s="74">
        <f t="shared" si="10"/>
        <v>0</v>
      </c>
      <c r="BL25" s="74">
        <f t="shared" si="10"/>
        <v>0</v>
      </c>
      <c r="BM25" s="74">
        <f t="shared" si="10"/>
        <v>0</v>
      </c>
      <c r="BN25" s="74">
        <f t="shared" si="10"/>
        <v>0</v>
      </c>
      <c r="BO25" s="74">
        <f t="shared" si="10"/>
        <v>1</v>
      </c>
      <c r="BP25" s="74">
        <f t="shared" si="10"/>
        <v>1</v>
      </c>
      <c r="BQ25" s="74">
        <f t="shared" si="10"/>
        <v>1</v>
      </c>
      <c r="BR25" s="74">
        <f t="shared" si="10"/>
        <v>1</v>
      </c>
      <c r="BS25" s="74">
        <f t="shared" si="10"/>
        <v>1</v>
      </c>
      <c r="BT25" s="74">
        <f t="shared" si="10"/>
        <v>1</v>
      </c>
      <c r="BU25" s="74">
        <f>SUM(tblSOW7[[#This Row],[P1]:[P12]])</f>
        <v>6</v>
      </c>
      <c r="BV25" s="74">
        <f xml:space="preserve"> IF(AND(ISNUMBER(SEARCH("-E000",tblSOW7[[#This Row],[Budget Item]])), ISERROR(VLOOKUP(tblSOW7[[#This Row],[Employee name ]],[29]Parameters!CP:DH,19,0))),VLOOKUP(tblSOW7[[#This Row],[Employee name ]],[29]Parameters!CP:DH,19,0),IFERROR(VLOOKUP(tblSOW7[[#This Row],[Employee name ]],[29]Parameters!CP:DH,19,0),0))</f>
        <v>0</v>
      </c>
      <c r="BW25" s="74">
        <f>IFERROR(VLOOKUP(K25,[29]Parameters!BN:BW,10,0),0)</f>
        <v>854.45565710605922</v>
      </c>
    </row>
    <row r="26" spans="1:75" s="75" customFormat="1">
      <c r="A26" s="67" t="str">
        <f>CONCATENATE(INDEX([29]Parameters!$U$1:$V$20,MATCH(C26,[29]Parameters!$V$1:$V$20,0),1),"/",VLOOKUP(D26,[29]Parameters!$CG$1:$CH$12,2,0),".",E26,".",H26,".",LEFT(J26,3),"-",LEFT(K26,4))</f>
        <v>B70/20.P999.405.950-T103</v>
      </c>
      <c r="B26" s="67" t="s">
        <v>123</v>
      </c>
      <c r="C26" s="67" t="s">
        <v>123</v>
      </c>
      <c r="D26" s="39" t="s">
        <v>95</v>
      </c>
      <c r="E26" s="40" t="str">
        <f>VLOOKUP(F26,[29]Parameters!P:T,4,0)</f>
        <v>P999</v>
      </c>
      <c r="F26" s="39" t="s">
        <v>92</v>
      </c>
      <c r="G26" s="67"/>
      <c r="H26" s="67">
        <f>INDEX([29]Parameters!$B:$C,MATCH(I26,[29]Parameters!$C:$C,0),1)</f>
        <v>405</v>
      </c>
      <c r="I26" s="68" t="s">
        <v>98</v>
      </c>
      <c r="J26" s="68" t="s">
        <v>94</v>
      </c>
      <c r="K26" s="68" t="s">
        <v>99</v>
      </c>
      <c r="L26" s="68" t="str">
        <f>IFERROR(VLOOKUP(tblSOW7[[#This Row],[Employee name ]],[29]Parameters!CP:CS,4,0),"")</f>
        <v/>
      </c>
      <c r="M26" s="69"/>
      <c r="N26" s="67" t="s">
        <v>149</v>
      </c>
      <c r="O26" s="76"/>
      <c r="P26" s="72">
        <v>45108</v>
      </c>
      <c r="Q26" s="72">
        <v>45291</v>
      </c>
      <c r="R26" s="67"/>
      <c r="S26" s="67">
        <f t="shared" si="9"/>
        <v>6</v>
      </c>
      <c r="T26" s="68"/>
      <c r="U26" s="67">
        <v>10</v>
      </c>
      <c r="V26" s="68"/>
      <c r="W26" s="68"/>
      <c r="X26" s="67">
        <f>SUM(tblSOW7[[#This Row],[Jan 2023 USD]:[Dec 2023 USD]])</f>
        <v>8544.5565710605933</v>
      </c>
      <c r="Y26" s="74">
        <f>tblSOW7[[#This Row],[FTE Cost]]*tblSOW7[[#This Row],[% work on project]]*AK26/tblSOW7[[#This Row],[Duration]]+tblSOW7[[#This Row],[Task Cost]]*AW26+tblSOW7[[#This Row],[External Expenses/Revenues USD]]*BI26/tblSOW7[[#This Row],[Duration]]</f>
        <v>0</v>
      </c>
      <c r="Z26" s="74">
        <f>tblSOW7[[#This Row],[FTE Cost]]*tblSOW7[[#This Row],[% work on project]]*AL26/tblSOW7[[#This Row],[Duration]]+tblSOW7[[#This Row],[Task Cost]]*AX26+tblSOW7[[#This Row],[External Expenses/Revenues USD]]*BJ26/tblSOW7[[#This Row],[Duration]]</f>
        <v>0</v>
      </c>
      <c r="AA26" s="74">
        <f>tblSOW7[[#This Row],[FTE Cost]]*tblSOW7[[#This Row],[% work on project]]*AM26/tblSOW7[[#This Row],[Duration]]+tblSOW7[[#This Row],[Task Cost]]*AY26+tblSOW7[[#This Row],[External Expenses/Revenues USD]]*BK26/tblSOW7[[#This Row],[Duration]]</f>
        <v>0</v>
      </c>
      <c r="AB26" s="74">
        <f>tblSOW7[[#This Row],[FTE Cost]]*tblSOW7[[#This Row],[% work on project]]*AN26/tblSOW7[[#This Row],[Duration]]+tblSOW7[[#This Row],[Task Cost]]*AZ26+tblSOW7[[#This Row],[External Expenses/Revenues USD]]*BL26/tblSOW7[[#This Row],[Duration]]</f>
        <v>0</v>
      </c>
      <c r="AC26" s="74">
        <f>tblSOW7[[#This Row],[FTE Cost]]*tblSOW7[[#This Row],[% work on project]]*AO26/tblSOW7[[#This Row],[Duration]]+tblSOW7[[#This Row],[Task Cost]]*BA26+tblSOW7[[#This Row],[External Expenses/Revenues USD]]*BM26/tblSOW7[[#This Row],[Duration]]</f>
        <v>0</v>
      </c>
      <c r="AD26" s="74">
        <f>tblSOW7[[#This Row],[FTE Cost]]*tblSOW7[[#This Row],[% work on project]]*AP26/tblSOW7[[#This Row],[Duration]]+tblSOW7[[#This Row],[Task Cost]]*BB26+tblSOW7[[#This Row],[External Expenses/Revenues USD]]*BN26/tblSOW7[[#This Row],[Duration]]</f>
        <v>0</v>
      </c>
      <c r="AE26" s="74">
        <f>tblSOW7[[#This Row],[FTE Cost]]*tblSOW7[[#This Row],[% work on project]]*AQ26/tblSOW7[[#This Row],[Duration]]+tblSOW7[[#This Row],[Task Cost]]*BC26+tblSOW7[[#This Row],[External Expenses/Revenues USD]]*BO26/tblSOW7[[#This Row],[Duration]]</f>
        <v>1424.0927618434321</v>
      </c>
      <c r="AF26" s="74">
        <f>tblSOW7[[#This Row],[FTE Cost]]*tblSOW7[[#This Row],[% work on project]]*AR26/tblSOW7[[#This Row],[Duration]]+tblSOW7[[#This Row],[Task Cost]]*BD26+tblSOW7[[#This Row],[External Expenses/Revenues USD]]*BP26/tblSOW7[[#This Row],[Duration]]</f>
        <v>1424.0927618434321</v>
      </c>
      <c r="AG26" s="74">
        <f>tblSOW7[[#This Row],[FTE Cost]]*tblSOW7[[#This Row],[% work on project]]*AS26/tblSOW7[[#This Row],[Duration]]+tblSOW7[[#This Row],[Task Cost]]*BE26+tblSOW7[[#This Row],[External Expenses/Revenues USD]]*BQ26/tblSOW7[[#This Row],[Duration]]</f>
        <v>1424.0927618434321</v>
      </c>
      <c r="AH26" s="74">
        <f>tblSOW7[[#This Row],[FTE Cost]]*tblSOW7[[#This Row],[% work on project]]*AT26/tblSOW7[[#This Row],[Duration]]+tblSOW7[[#This Row],[Task Cost]]*BF26+tblSOW7[[#This Row],[External Expenses/Revenues USD]]*BR26/tblSOW7[[#This Row],[Duration]]</f>
        <v>1424.0927618434321</v>
      </c>
      <c r="AI26" s="74">
        <f>tblSOW7[[#This Row],[FTE Cost]]*tblSOW7[[#This Row],[% work on project]]*AU26/tblSOW7[[#This Row],[Duration]]+tblSOW7[[#This Row],[Task Cost]]*BG26+tblSOW7[[#This Row],[External Expenses/Revenues USD]]*BS26/tblSOW7[[#This Row],[Duration]]</f>
        <v>1424.0927618434321</v>
      </c>
      <c r="AJ26" s="74">
        <f>tblSOW7[[#This Row],[FTE Cost]]*tblSOW7[[#This Row],[% work on project]]*AV26/tblSOW7[[#This Row],[Duration]]+tblSOW7[[#This Row],[Task Cost]]*BH26+tblSOW7[[#This Row],[External Expenses/Revenues USD]]*BT26/tblSOW7[[#This Row],[Duration]]</f>
        <v>1424.0927618434321</v>
      </c>
      <c r="AK26" s="74">
        <f t="shared" si="7"/>
        <v>0</v>
      </c>
      <c r="AL26" s="74">
        <f t="shared" si="7"/>
        <v>0</v>
      </c>
      <c r="AM26" s="74">
        <f t="shared" si="7"/>
        <v>0</v>
      </c>
      <c r="AN26" s="74">
        <f t="shared" si="7"/>
        <v>0</v>
      </c>
      <c r="AO26" s="74">
        <f t="shared" si="7"/>
        <v>0</v>
      </c>
      <c r="AP26" s="74">
        <f t="shared" si="7"/>
        <v>0</v>
      </c>
      <c r="AQ26" s="74">
        <f t="shared" si="7"/>
        <v>1</v>
      </c>
      <c r="AR26" s="74">
        <f t="shared" si="7"/>
        <v>1</v>
      </c>
      <c r="AS26" s="74">
        <f t="shared" si="7"/>
        <v>1</v>
      </c>
      <c r="AT26" s="74">
        <f t="shared" si="7"/>
        <v>1</v>
      </c>
      <c r="AU26" s="74">
        <f t="shared" si="7"/>
        <v>1</v>
      </c>
      <c r="AV26" s="74">
        <f t="shared" si="7"/>
        <v>1</v>
      </c>
      <c r="AW26" s="74">
        <f t="shared" si="8"/>
        <v>0</v>
      </c>
      <c r="AX26" s="74">
        <f t="shared" si="8"/>
        <v>0</v>
      </c>
      <c r="AY26" s="74">
        <f t="shared" si="8"/>
        <v>0</v>
      </c>
      <c r="AZ26" s="74">
        <f t="shared" si="8"/>
        <v>0</v>
      </c>
      <c r="BA26" s="74">
        <f t="shared" si="8"/>
        <v>0</v>
      </c>
      <c r="BB26" s="74">
        <f t="shared" si="8"/>
        <v>0</v>
      </c>
      <c r="BC26" s="74">
        <f t="shared" si="8"/>
        <v>1.6666666666666667</v>
      </c>
      <c r="BD26" s="74">
        <f t="shared" si="8"/>
        <v>1.6666666666666667</v>
      </c>
      <c r="BE26" s="74">
        <f t="shared" si="8"/>
        <v>1.6666666666666667</v>
      </c>
      <c r="BF26" s="74">
        <f t="shared" si="8"/>
        <v>1.6666666666666667</v>
      </c>
      <c r="BG26" s="74">
        <f t="shared" si="8"/>
        <v>1.6666666666666667</v>
      </c>
      <c r="BH26" s="74">
        <f t="shared" si="8"/>
        <v>1.6666666666666667</v>
      </c>
      <c r="BI26" s="74">
        <f t="shared" si="10"/>
        <v>0</v>
      </c>
      <c r="BJ26" s="74">
        <f t="shared" si="10"/>
        <v>0</v>
      </c>
      <c r="BK26" s="74">
        <f t="shared" si="10"/>
        <v>0</v>
      </c>
      <c r="BL26" s="74">
        <f t="shared" si="10"/>
        <v>0</v>
      </c>
      <c r="BM26" s="74">
        <f t="shared" si="10"/>
        <v>0</v>
      </c>
      <c r="BN26" s="74">
        <f t="shared" si="10"/>
        <v>0</v>
      </c>
      <c r="BO26" s="74">
        <f t="shared" si="10"/>
        <v>1</v>
      </c>
      <c r="BP26" s="74">
        <f t="shared" si="10"/>
        <v>1</v>
      </c>
      <c r="BQ26" s="74">
        <f t="shared" si="10"/>
        <v>1</v>
      </c>
      <c r="BR26" s="74">
        <f t="shared" si="10"/>
        <v>1</v>
      </c>
      <c r="BS26" s="74">
        <f t="shared" si="10"/>
        <v>1</v>
      </c>
      <c r="BT26" s="74">
        <f t="shared" si="10"/>
        <v>1</v>
      </c>
      <c r="BU26" s="74">
        <f>SUM(tblSOW7[[#This Row],[P1]:[P12]])</f>
        <v>6</v>
      </c>
      <c r="BV26" s="74">
        <f xml:space="preserve"> IF(AND(ISNUMBER(SEARCH("-E000",tblSOW7[[#This Row],[Budget Item]])), ISERROR(VLOOKUP(tblSOW7[[#This Row],[Employee name ]],[29]Parameters!CP:DH,19,0))),VLOOKUP(tblSOW7[[#This Row],[Employee name ]],[29]Parameters!CP:DH,19,0),IFERROR(VLOOKUP(tblSOW7[[#This Row],[Employee name ]],[29]Parameters!CP:DH,19,0),0))</f>
        <v>0</v>
      </c>
      <c r="BW26" s="74">
        <f>IFERROR(VLOOKUP(K26,[29]Parameters!BN:BW,10,0),0)</f>
        <v>854.45565710605922</v>
      </c>
    </row>
    <row r="27" spans="1:75" s="75" customFormat="1">
      <c r="A27" s="67" t="str">
        <f>CONCATENATE(INDEX([29]Parameters!$U$1:$V$20,MATCH(C27,[29]Parameters!$V$1:$V$20,0),1),"/",VLOOKUP(D27,[29]Parameters!$CG$1:$CH$12,2,0),".",E27,".",H27,".",LEFT(J27,3),"-",LEFT(K27,4))</f>
        <v>B70/20.P999.405.950-T103</v>
      </c>
      <c r="B27" s="67" t="s">
        <v>123</v>
      </c>
      <c r="C27" s="67" t="s">
        <v>123</v>
      </c>
      <c r="D27" s="39" t="s">
        <v>95</v>
      </c>
      <c r="E27" s="40" t="str">
        <f>VLOOKUP(F27,[29]Parameters!P:T,4,0)</f>
        <v>P999</v>
      </c>
      <c r="F27" s="39" t="s">
        <v>92</v>
      </c>
      <c r="G27" s="67"/>
      <c r="H27" s="67">
        <f>INDEX([29]Parameters!$B:$C,MATCH(I27,[29]Parameters!$C:$C,0),1)</f>
        <v>405</v>
      </c>
      <c r="I27" s="68" t="s">
        <v>98</v>
      </c>
      <c r="J27" s="68" t="s">
        <v>94</v>
      </c>
      <c r="K27" s="68" t="s">
        <v>99</v>
      </c>
      <c r="L27" s="68" t="str">
        <f>IFERROR(VLOOKUP(tblSOW7[[#This Row],[Employee name ]],[29]Parameters!CP:CS,4,0),"")</f>
        <v/>
      </c>
      <c r="M27" s="69"/>
      <c r="N27" s="67" t="s">
        <v>150</v>
      </c>
      <c r="O27" s="76"/>
      <c r="P27" s="72">
        <v>45108</v>
      </c>
      <c r="Q27" s="72">
        <v>45291</v>
      </c>
      <c r="R27" s="67"/>
      <c r="S27" s="67">
        <f t="shared" si="9"/>
        <v>6</v>
      </c>
      <c r="T27" s="68"/>
      <c r="U27" s="67">
        <v>25</v>
      </c>
      <c r="V27" s="68"/>
      <c r="W27" s="68"/>
      <c r="X27" s="67">
        <f>SUM(tblSOW7[[#This Row],[Jan 2023 USD]:[Dec 2023 USD]])</f>
        <v>21361.391427651481</v>
      </c>
      <c r="Y27" s="74">
        <f>tblSOW7[[#This Row],[FTE Cost]]*tblSOW7[[#This Row],[% work on project]]*AK27/tblSOW7[[#This Row],[Duration]]+tblSOW7[[#This Row],[Task Cost]]*AW27+tblSOW7[[#This Row],[External Expenses/Revenues USD]]*BI27/tblSOW7[[#This Row],[Duration]]</f>
        <v>0</v>
      </c>
      <c r="Z27" s="74">
        <f>tblSOW7[[#This Row],[FTE Cost]]*tblSOW7[[#This Row],[% work on project]]*AL27/tblSOW7[[#This Row],[Duration]]+tblSOW7[[#This Row],[Task Cost]]*AX27+tblSOW7[[#This Row],[External Expenses/Revenues USD]]*BJ27/tblSOW7[[#This Row],[Duration]]</f>
        <v>0</v>
      </c>
      <c r="AA27" s="74">
        <f>tblSOW7[[#This Row],[FTE Cost]]*tblSOW7[[#This Row],[% work on project]]*AM27/tblSOW7[[#This Row],[Duration]]+tblSOW7[[#This Row],[Task Cost]]*AY27+tblSOW7[[#This Row],[External Expenses/Revenues USD]]*BK27/tblSOW7[[#This Row],[Duration]]</f>
        <v>0</v>
      </c>
      <c r="AB27" s="74">
        <f>tblSOW7[[#This Row],[FTE Cost]]*tblSOW7[[#This Row],[% work on project]]*AN27/tblSOW7[[#This Row],[Duration]]+tblSOW7[[#This Row],[Task Cost]]*AZ27+tblSOW7[[#This Row],[External Expenses/Revenues USD]]*BL27/tblSOW7[[#This Row],[Duration]]</f>
        <v>0</v>
      </c>
      <c r="AC27" s="74">
        <f>tblSOW7[[#This Row],[FTE Cost]]*tblSOW7[[#This Row],[% work on project]]*AO27/tblSOW7[[#This Row],[Duration]]+tblSOW7[[#This Row],[Task Cost]]*BA27+tblSOW7[[#This Row],[External Expenses/Revenues USD]]*BM27/tblSOW7[[#This Row],[Duration]]</f>
        <v>0</v>
      </c>
      <c r="AD27" s="74">
        <f>tblSOW7[[#This Row],[FTE Cost]]*tblSOW7[[#This Row],[% work on project]]*AP27/tblSOW7[[#This Row],[Duration]]+tblSOW7[[#This Row],[Task Cost]]*BB27+tblSOW7[[#This Row],[External Expenses/Revenues USD]]*BN27/tblSOW7[[#This Row],[Duration]]</f>
        <v>0</v>
      </c>
      <c r="AE27" s="74">
        <f>tblSOW7[[#This Row],[FTE Cost]]*tblSOW7[[#This Row],[% work on project]]*AQ27/tblSOW7[[#This Row],[Duration]]+tblSOW7[[#This Row],[Task Cost]]*BC27+tblSOW7[[#This Row],[External Expenses/Revenues USD]]*BO27/tblSOW7[[#This Row],[Duration]]</f>
        <v>3560.2319046085804</v>
      </c>
      <c r="AF27" s="74">
        <f>tblSOW7[[#This Row],[FTE Cost]]*tblSOW7[[#This Row],[% work on project]]*AR27/tblSOW7[[#This Row],[Duration]]+tblSOW7[[#This Row],[Task Cost]]*BD27+tblSOW7[[#This Row],[External Expenses/Revenues USD]]*BP27/tblSOW7[[#This Row],[Duration]]</f>
        <v>3560.2319046085804</v>
      </c>
      <c r="AG27" s="74">
        <f>tblSOW7[[#This Row],[FTE Cost]]*tblSOW7[[#This Row],[% work on project]]*AS27/tblSOW7[[#This Row],[Duration]]+tblSOW7[[#This Row],[Task Cost]]*BE27+tblSOW7[[#This Row],[External Expenses/Revenues USD]]*BQ27/tblSOW7[[#This Row],[Duration]]</f>
        <v>3560.2319046085804</v>
      </c>
      <c r="AH27" s="74">
        <f>tblSOW7[[#This Row],[FTE Cost]]*tblSOW7[[#This Row],[% work on project]]*AT27/tblSOW7[[#This Row],[Duration]]+tblSOW7[[#This Row],[Task Cost]]*BF27+tblSOW7[[#This Row],[External Expenses/Revenues USD]]*BR27/tblSOW7[[#This Row],[Duration]]</f>
        <v>3560.2319046085804</v>
      </c>
      <c r="AI27" s="74">
        <f>tblSOW7[[#This Row],[FTE Cost]]*tblSOW7[[#This Row],[% work on project]]*AU27/tblSOW7[[#This Row],[Duration]]+tblSOW7[[#This Row],[Task Cost]]*BG27+tblSOW7[[#This Row],[External Expenses/Revenues USD]]*BS27/tblSOW7[[#This Row],[Duration]]</f>
        <v>3560.2319046085804</v>
      </c>
      <c r="AJ27" s="74">
        <f>tblSOW7[[#This Row],[FTE Cost]]*tblSOW7[[#This Row],[% work on project]]*AV27/tblSOW7[[#This Row],[Duration]]+tblSOW7[[#This Row],[Task Cost]]*BH27+tblSOW7[[#This Row],[External Expenses/Revenues USD]]*BT27/tblSOW7[[#This Row],[Duration]]</f>
        <v>3560.2319046085804</v>
      </c>
      <c r="AK27" s="74">
        <f t="shared" si="7"/>
        <v>0</v>
      </c>
      <c r="AL27" s="74">
        <f t="shared" si="7"/>
        <v>0</v>
      </c>
      <c r="AM27" s="74">
        <f t="shared" si="7"/>
        <v>0</v>
      </c>
      <c r="AN27" s="74">
        <f t="shared" si="7"/>
        <v>0</v>
      </c>
      <c r="AO27" s="74">
        <f t="shared" si="7"/>
        <v>0</v>
      </c>
      <c r="AP27" s="74">
        <f t="shared" si="7"/>
        <v>0</v>
      </c>
      <c r="AQ27" s="74">
        <f t="shared" si="7"/>
        <v>1</v>
      </c>
      <c r="AR27" s="74">
        <f t="shared" si="7"/>
        <v>1</v>
      </c>
      <c r="AS27" s="74">
        <f t="shared" si="7"/>
        <v>1</v>
      </c>
      <c r="AT27" s="74">
        <f t="shared" si="7"/>
        <v>1</v>
      </c>
      <c r="AU27" s="74">
        <f t="shared" si="7"/>
        <v>1</v>
      </c>
      <c r="AV27" s="74">
        <f t="shared" si="7"/>
        <v>1</v>
      </c>
      <c r="AW27" s="74">
        <f t="shared" si="8"/>
        <v>0</v>
      </c>
      <c r="AX27" s="74">
        <f t="shared" si="8"/>
        <v>0</v>
      </c>
      <c r="AY27" s="74">
        <f t="shared" si="8"/>
        <v>0</v>
      </c>
      <c r="AZ27" s="74">
        <f t="shared" si="8"/>
        <v>0</v>
      </c>
      <c r="BA27" s="74">
        <f t="shared" si="8"/>
        <v>0</v>
      </c>
      <c r="BB27" s="74">
        <f t="shared" si="8"/>
        <v>0</v>
      </c>
      <c r="BC27" s="74">
        <f t="shared" si="8"/>
        <v>4.166666666666667</v>
      </c>
      <c r="BD27" s="74">
        <f t="shared" si="8"/>
        <v>4.166666666666667</v>
      </c>
      <c r="BE27" s="74">
        <f t="shared" si="8"/>
        <v>4.166666666666667</v>
      </c>
      <c r="BF27" s="74">
        <f t="shared" si="8"/>
        <v>4.166666666666667</v>
      </c>
      <c r="BG27" s="74">
        <f t="shared" si="8"/>
        <v>4.166666666666667</v>
      </c>
      <c r="BH27" s="74">
        <f t="shared" si="8"/>
        <v>4.166666666666667</v>
      </c>
      <c r="BI27" s="74">
        <f t="shared" si="10"/>
        <v>0</v>
      </c>
      <c r="BJ27" s="74">
        <f t="shared" si="10"/>
        <v>0</v>
      </c>
      <c r="BK27" s="74">
        <f t="shared" si="10"/>
        <v>0</v>
      </c>
      <c r="BL27" s="74">
        <f t="shared" si="10"/>
        <v>0</v>
      </c>
      <c r="BM27" s="74">
        <f t="shared" si="10"/>
        <v>0</v>
      </c>
      <c r="BN27" s="74">
        <f t="shared" si="10"/>
        <v>0</v>
      </c>
      <c r="BO27" s="74">
        <f t="shared" si="10"/>
        <v>1</v>
      </c>
      <c r="BP27" s="74">
        <f t="shared" si="10"/>
        <v>1</v>
      </c>
      <c r="BQ27" s="74">
        <f t="shared" si="10"/>
        <v>1</v>
      </c>
      <c r="BR27" s="74">
        <f t="shared" si="10"/>
        <v>1</v>
      </c>
      <c r="BS27" s="74">
        <f t="shared" si="10"/>
        <v>1</v>
      </c>
      <c r="BT27" s="74">
        <f t="shared" si="10"/>
        <v>1</v>
      </c>
      <c r="BU27" s="74">
        <f>SUM(tblSOW7[[#This Row],[P1]:[P12]])</f>
        <v>6</v>
      </c>
      <c r="BV27" s="74">
        <f xml:space="preserve"> IF(AND(ISNUMBER(SEARCH("-E000",tblSOW7[[#This Row],[Budget Item]])), ISERROR(VLOOKUP(tblSOW7[[#This Row],[Employee name ]],[29]Parameters!CP:DH,19,0))),VLOOKUP(tblSOW7[[#This Row],[Employee name ]],[29]Parameters!CP:DH,19,0),IFERROR(VLOOKUP(tblSOW7[[#This Row],[Employee name ]],[29]Parameters!CP:DH,19,0),0))</f>
        <v>0</v>
      </c>
      <c r="BW27" s="74">
        <f>IFERROR(VLOOKUP(K27,[29]Parameters!BN:BW,10,0),0)</f>
        <v>854.45565710605922</v>
      </c>
    </row>
    <row r="28" spans="1:75" s="75" customFormat="1">
      <c r="A28" s="67" t="str">
        <f>CONCATENATE(INDEX([29]Parameters!$U$1:$V$20,MATCH(C28,[29]Parameters!$V$1:$V$20,0),1),"/",VLOOKUP(D28,[29]Parameters!$CG$1:$CH$12,2,0),".",E28,".",H28,".",LEFT(J28,3),"-",LEFT(K28,4))</f>
        <v>B70/20.P999.405.950-T103</v>
      </c>
      <c r="B28" s="67" t="s">
        <v>123</v>
      </c>
      <c r="C28" s="67" t="s">
        <v>123</v>
      </c>
      <c r="D28" s="39" t="s">
        <v>95</v>
      </c>
      <c r="E28" s="40" t="str">
        <f>VLOOKUP(F28,[29]Parameters!P:T,4,0)</f>
        <v>P999</v>
      </c>
      <c r="F28" s="39" t="s">
        <v>92</v>
      </c>
      <c r="G28" s="67"/>
      <c r="H28" s="67">
        <f>INDEX([29]Parameters!$B:$C,MATCH(I28,[29]Parameters!$C:$C,0),1)</f>
        <v>405</v>
      </c>
      <c r="I28" s="68" t="s">
        <v>98</v>
      </c>
      <c r="J28" s="68" t="s">
        <v>94</v>
      </c>
      <c r="K28" s="68" t="s">
        <v>99</v>
      </c>
      <c r="L28" s="68" t="str">
        <f>IFERROR(VLOOKUP(tblSOW7[[#This Row],[Employee name ]],[29]Parameters!CP:CS,4,0),"")</f>
        <v/>
      </c>
      <c r="M28" s="69"/>
      <c r="N28" s="67" t="s">
        <v>147</v>
      </c>
      <c r="O28" s="76"/>
      <c r="P28" s="72">
        <v>45017</v>
      </c>
      <c r="Q28" s="72">
        <v>45138</v>
      </c>
      <c r="R28" s="67"/>
      <c r="S28" s="67">
        <f t="shared" si="9"/>
        <v>4</v>
      </c>
      <c r="T28" s="68"/>
      <c r="U28" s="67">
        <v>15</v>
      </c>
      <c r="V28" s="68"/>
      <c r="W28" s="68"/>
      <c r="X28" s="67">
        <f>SUM(tblSOW7[[#This Row],[Jan 2023 USD]:[Dec 2023 USD]])</f>
        <v>12816.834856590889</v>
      </c>
      <c r="Y28" s="74">
        <f>tblSOW7[[#This Row],[FTE Cost]]*tblSOW7[[#This Row],[% work on project]]*AK28/tblSOW7[[#This Row],[Duration]]+tblSOW7[[#This Row],[Task Cost]]*AW28+tblSOW7[[#This Row],[External Expenses/Revenues USD]]*BI28/tblSOW7[[#This Row],[Duration]]</f>
        <v>0</v>
      </c>
      <c r="Z28" s="74">
        <f>tblSOW7[[#This Row],[FTE Cost]]*tblSOW7[[#This Row],[% work on project]]*AL28/tblSOW7[[#This Row],[Duration]]+tblSOW7[[#This Row],[Task Cost]]*AX28+tblSOW7[[#This Row],[External Expenses/Revenues USD]]*BJ28/tblSOW7[[#This Row],[Duration]]</f>
        <v>0</v>
      </c>
      <c r="AA28" s="74">
        <f>tblSOW7[[#This Row],[FTE Cost]]*tblSOW7[[#This Row],[% work on project]]*AM28/tblSOW7[[#This Row],[Duration]]+tblSOW7[[#This Row],[Task Cost]]*AY28+tblSOW7[[#This Row],[External Expenses/Revenues USD]]*BK28/tblSOW7[[#This Row],[Duration]]</f>
        <v>0</v>
      </c>
      <c r="AB28" s="74">
        <f>tblSOW7[[#This Row],[FTE Cost]]*tblSOW7[[#This Row],[% work on project]]*AN28/tblSOW7[[#This Row],[Duration]]+tblSOW7[[#This Row],[Task Cost]]*AZ28+tblSOW7[[#This Row],[External Expenses/Revenues USD]]*BL28/tblSOW7[[#This Row],[Duration]]</f>
        <v>3204.2087141477223</v>
      </c>
      <c r="AC28" s="74">
        <f>tblSOW7[[#This Row],[FTE Cost]]*tblSOW7[[#This Row],[% work on project]]*AO28/tblSOW7[[#This Row],[Duration]]+tblSOW7[[#This Row],[Task Cost]]*BA28+tblSOW7[[#This Row],[External Expenses/Revenues USD]]*BM28/tblSOW7[[#This Row],[Duration]]</f>
        <v>3204.2087141477223</v>
      </c>
      <c r="AD28" s="74">
        <f>tblSOW7[[#This Row],[FTE Cost]]*tblSOW7[[#This Row],[% work on project]]*AP28/tblSOW7[[#This Row],[Duration]]+tblSOW7[[#This Row],[Task Cost]]*BB28+tblSOW7[[#This Row],[External Expenses/Revenues USD]]*BN28/tblSOW7[[#This Row],[Duration]]</f>
        <v>3204.2087141477223</v>
      </c>
      <c r="AE28" s="74">
        <f>tblSOW7[[#This Row],[FTE Cost]]*tblSOW7[[#This Row],[% work on project]]*AQ28/tblSOW7[[#This Row],[Duration]]+tblSOW7[[#This Row],[Task Cost]]*BC28+tblSOW7[[#This Row],[External Expenses/Revenues USD]]*BO28/tblSOW7[[#This Row],[Duration]]</f>
        <v>3204.2087141477223</v>
      </c>
      <c r="AF28" s="74">
        <f>tblSOW7[[#This Row],[FTE Cost]]*tblSOW7[[#This Row],[% work on project]]*AR28/tblSOW7[[#This Row],[Duration]]+tblSOW7[[#This Row],[Task Cost]]*BD28+tblSOW7[[#This Row],[External Expenses/Revenues USD]]*BP28/tblSOW7[[#This Row],[Duration]]</f>
        <v>0</v>
      </c>
      <c r="AG28" s="74">
        <f>tblSOW7[[#This Row],[FTE Cost]]*tblSOW7[[#This Row],[% work on project]]*AS28/tblSOW7[[#This Row],[Duration]]+tblSOW7[[#This Row],[Task Cost]]*BE28+tblSOW7[[#This Row],[External Expenses/Revenues USD]]*BQ28/tblSOW7[[#This Row],[Duration]]</f>
        <v>0</v>
      </c>
      <c r="AH28" s="74">
        <f>tblSOW7[[#This Row],[FTE Cost]]*tblSOW7[[#This Row],[% work on project]]*AT28/tblSOW7[[#This Row],[Duration]]+tblSOW7[[#This Row],[Task Cost]]*BF28+tblSOW7[[#This Row],[External Expenses/Revenues USD]]*BR28/tblSOW7[[#This Row],[Duration]]</f>
        <v>0</v>
      </c>
      <c r="AI28" s="74">
        <f>tblSOW7[[#This Row],[FTE Cost]]*tblSOW7[[#This Row],[% work on project]]*AU28/tblSOW7[[#This Row],[Duration]]+tblSOW7[[#This Row],[Task Cost]]*BG28+tblSOW7[[#This Row],[External Expenses/Revenues USD]]*BS28/tblSOW7[[#This Row],[Duration]]</f>
        <v>0</v>
      </c>
      <c r="AJ28" s="74">
        <f>tblSOW7[[#This Row],[FTE Cost]]*tblSOW7[[#This Row],[% work on project]]*AV28/tblSOW7[[#This Row],[Duration]]+tblSOW7[[#This Row],[Task Cost]]*BH28+tblSOW7[[#This Row],[External Expenses/Revenues USD]]*BT28/tblSOW7[[#This Row],[Duration]]</f>
        <v>0</v>
      </c>
      <c r="AK28" s="74">
        <f t="shared" si="7"/>
        <v>0</v>
      </c>
      <c r="AL28" s="74">
        <f t="shared" si="7"/>
        <v>0</v>
      </c>
      <c r="AM28" s="74">
        <f t="shared" si="7"/>
        <v>0</v>
      </c>
      <c r="AN28" s="74">
        <f t="shared" si="7"/>
        <v>1</v>
      </c>
      <c r="AO28" s="74">
        <f t="shared" si="7"/>
        <v>1</v>
      </c>
      <c r="AP28" s="74">
        <f t="shared" si="7"/>
        <v>1</v>
      </c>
      <c r="AQ28" s="74">
        <f t="shared" si="7"/>
        <v>1</v>
      </c>
      <c r="AR28" s="74">
        <f t="shared" si="7"/>
        <v>0</v>
      </c>
      <c r="AS28" s="74">
        <f t="shared" si="7"/>
        <v>0</v>
      </c>
      <c r="AT28" s="74">
        <f t="shared" si="7"/>
        <v>0</v>
      </c>
      <c r="AU28" s="74">
        <f t="shared" si="7"/>
        <v>0</v>
      </c>
      <c r="AV28" s="74">
        <f t="shared" si="7"/>
        <v>0</v>
      </c>
      <c r="AW28" s="74">
        <f t="shared" si="8"/>
        <v>0</v>
      </c>
      <c r="AX28" s="74">
        <f t="shared" si="8"/>
        <v>0</v>
      </c>
      <c r="AY28" s="74">
        <f t="shared" si="8"/>
        <v>0</v>
      </c>
      <c r="AZ28" s="74">
        <f t="shared" si="8"/>
        <v>3.75</v>
      </c>
      <c r="BA28" s="74">
        <f t="shared" si="8"/>
        <v>3.75</v>
      </c>
      <c r="BB28" s="74">
        <f t="shared" si="8"/>
        <v>3.75</v>
      </c>
      <c r="BC28" s="74">
        <f t="shared" si="8"/>
        <v>3.75</v>
      </c>
      <c r="BD28" s="74">
        <f t="shared" si="8"/>
        <v>0</v>
      </c>
      <c r="BE28" s="74">
        <f t="shared" si="8"/>
        <v>0</v>
      </c>
      <c r="BF28" s="74">
        <f t="shared" si="8"/>
        <v>0</v>
      </c>
      <c r="BG28" s="74">
        <f t="shared" si="8"/>
        <v>0</v>
      </c>
      <c r="BH28" s="74">
        <f t="shared" si="8"/>
        <v>0</v>
      </c>
      <c r="BI28" s="74">
        <f t="shared" si="10"/>
        <v>0</v>
      </c>
      <c r="BJ28" s="74">
        <f t="shared" si="10"/>
        <v>0</v>
      </c>
      <c r="BK28" s="74">
        <f t="shared" si="10"/>
        <v>0</v>
      </c>
      <c r="BL28" s="74">
        <f t="shared" si="10"/>
        <v>1</v>
      </c>
      <c r="BM28" s="74">
        <f t="shared" si="10"/>
        <v>1</v>
      </c>
      <c r="BN28" s="74">
        <f t="shared" si="10"/>
        <v>1</v>
      </c>
      <c r="BO28" s="74">
        <f t="shared" si="10"/>
        <v>1</v>
      </c>
      <c r="BP28" s="74">
        <f t="shared" si="10"/>
        <v>0</v>
      </c>
      <c r="BQ28" s="74">
        <f t="shared" si="10"/>
        <v>0</v>
      </c>
      <c r="BR28" s="74">
        <f t="shared" si="10"/>
        <v>0</v>
      </c>
      <c r="BS28" s="74">
        <f t="shared" si="10"/>
        <v>0</v>
      </c>
      <c r="BT28" s="74">
        <f t="shared" si="10"/>
        <v>0</v>
      </c>
      <c r="BU28" s="74">
        <f>SUM(tblSOW7[[#This Row],[P1]:[P12]])</f>
        <v>4</v>
      </c>
      <c r="BV28" s="74">
        <f xml:space="preserve"> IF(AND(ISNUMBER(SEARCH("-E000",tblSOW7[[#This Row],[Budget Item]])), ISERROR(VLOOKUP(tblSOW7[[#This Row],[Employee name ]],[29]Parameters!CP:DH,19,0))),VLOOKUP(tblSOW7[[#This Row],[Employee name ]],[29]Parameters!CP:DH,19,0),IFERROR(VLOOKUP(tblSOW7[[#This Row],[Employee name ]],[29]Parameters!CP:DH,19,0),0))</f>
        <v>0</v>
      </c>
      <c r="BW28" s="74">
        <f>IFERROR(VLOOKUP(K28,[29]Parameters!BN:BW,10,0),0)</f>
        <v>854.45565710605922</v>
      </c>
    </row>
    <row r="29" spans="1:75" s="75" customFormat="1">
      <c r="A29" s="67" t="str">
        <f>CONCATENATE(INDEX([29]Parameters!$U$1:$V$20,MATCH(C29,[29]Parameters!$V$1:$V$20,0),1),"/",VLOOKUP(D29,[29]Parameters!$CG$1:$CH$12,2,0),".",E29,".",H29,".",LEFT(J29,3),"-",LEFT(K29,4))</f>
        <v>B70/20.P999.405.950-T103</v>
      </c>
      <c r="B29" s="67" t="s">
        <v>123</v>
      </c>
      <c r="C29" s="67" t="s">
        <v>123</v>
      </c>
      <c r="D29" s="39" t="s">
        <v>95</v>
      </c>
      <c r="E29" s="40" t="str">
        <f>VLOOKUP(F29,[29]Parameters!P:T,4,0)</f>
        <v>P999</v>
      </c>
      <c r="F29" s="39" t="s">
        <v>92</v>
      </c>
      <c r="G29" s="67"/>
      <c r="H29" s="67">
        <f>INDEX([29]Parameters!$B:$C,MATCH(I29,[29]Parameters!$C:$C,0),1)</f>
        <v>405</v>
      </c>
      <c r="I29" s="68" t="s">
        <v>98</v>
      </c>
      <c r="J29" s="68" t="s">
        <v>94</v>
      </c>
      <c r="K29" s="68" t="s">
        <v>99</v>
      </c>
      <c r="L29" s="68" t="str">
        <f>IFERROR(VLOOKUP(tblSOW7[[#This Row],[Employee name ]],[29]Parameters!CP:CS,4,0),"")</f>
        <v/>
      </c>
      <c r="M29" s="69"/>
      <c r="N29" s="67" t="s">
        <v>151</v>
      </c>
      <c r="O29" s="76"/>
      <c r="P29" s="72">
        <v>44927</v>
      </c>
      <c r="Q29" s="72">
        <v>45016</v>
      </c>
      <c r="R29" s="67"/>
      <c r="S29" s="67">
        <f t="shared" si="9"/>
        <v>3</v>
      </c>
      <c r="T29" s="68"/>
      <c r="U29" s="67">
        <v>66</v>
      </c>
      <c r="V29" s="68"/>
      <c r="W29" s="68"/>
      <c r="X29" s="67">
        <f>SUM(tblSOW7[[#This Row],[Jan 2023 USD]:[Dec 2023 USD]])</f>
        <v>56394.073368999911</v>
      </c>
      <c r="Y29" s="74">
        <f>tblSOW7[[#This Row],[FTE Cost]]*tblSOW7[[#This Row],[% work on project]]*AK29/tblSOW7[[#This Row],[Duration]]+tblSOW7[[#This Row],[Task Cost]]*AW29+tblSOW7[[#This Row],[External Expenses/Revenues USD]]*BI29/tblSOW7[[#This Row],[Duration]]</f>
        <v>18798.024456333304</v>
      </c>
      <c r="Z29" s="74">
        <f>tblSOW7[[#This Row],[FTE Cost]]*tblSOW7[[#This Row],[% work on project]]*AL29/tblSOW7[[#This Row],[Duration]]+tblSOW7[[#This Row],[Task Cost]]*AX29+tblSOW7[[#This Row],[External Expenses/Revenues USD]]*BJ29/tblSOW7[[#This Row],[Duration]]</f>
        <v>18798.024456333304</v>
      </c>
      <c r="AA29" s="74">
        <f>tblSOW7[[#This Row],[FTE Cost]]*tblSOW7[[#This Row],[% work on project]]*AM29/tblSOW7[[#This Row],[Duration]]+tblSOW7[[#This Row],[Task Cost]]*AY29+tblSOW7[[#This Row],[External Expenses/Revenues USD]]*BK29/tblSOW7[[#This Row],[Duration]]</f>
        <v>18798.024456333304</v>
      </c>
      <c r="AB29" s="74">
        <f>tblSOW7[[#This Row],[FTE Cost]]*tblSOW7[[#This Row],[% work on project]]*AN29/tblSOW7[[#This Row],[Duration]]+tblSOW7[[#This Row],[Task Cost]]*AZ29+tblSOW7[[#This Row],[External Expenses/Revenues USD]]*BL29/tblSOW7[[#This Row],[Duration]]</f>
        <v>0</v>
      </c>
      <c r="AC29" s="74">
        <f>tblSOW7[[#This Row],[FTE Cost]]*tblSOW7[[#This Row],[% work on project]]*AO29/tblSOW7[[#This Row],[Duration]]+tblSOW7[[#This Row],[Task Cost]]*BA29+tblSOW7[[#This Row],[External Expenses/Revenues USD]]*BM29/tblSOW7[[#This Row],[Duration]]</f>
        <v>0</v>
      </c>
      <c r="AD29" s="74">
        <f>tblSOW7[[#This Row],[FTE Cost]]*tblSOW7[[#This Row],[% work on project]]*AP29/tblSOW7[[#This Row],[Duration]]+tblSOW7[[#This Row],[Task Cost]]*BB29+tblSOW7[[#This Row],[External Expenses/Revenues USD]]*BN29/tblSOW7[[#This Row],[Duration]]</f>
        <v>0</v>
      </c>
      <c r="AE29" s="74">
        <f>tblSOW7[[#This Row],[FTE Cost]]*tblSOW7[[#This Row],[% work on project]]*AQ29/tblSOW7[[#This Row],[Duration]]+tblSOW7[[#This Row],[Task Cost]]*BC29+tblSOW7[[#This Row],[External Expenses/Revenues USD]]*BO29/tblSOW7[[#This Row],[Duration]]</f>
        <v>0</v>
      </c>
      <c r="AF29" s="74">
        <f>tblSOW7[[#This Row],[FTE Cost]]*tblSOW7[[#This Row],[% work on project]]*AR29/tblSOW7[[#This Row],[Duration]]+tblSOW7[[#This Row],[Task Cost]]*BD29+tblSOW7[[#This Row],[External Expenses/Revenues USD]]*BP29/tblSOW7[[#This Row],[Duration]]</f>
        <v>0</v>
      </c>
      <c r="AG29" s="74">
        <f>tblSOW7[[#This Row],[FTE Cost]]*tblSOW7[[#This Row],[% work on project]]*AS29/tblSOW7[[#This Row],[Duration]]+tblSOW7[[#This Row],[Task Cost]]*BE29+tblSOW7[[#This Row],[External Expenses/Revenues USD]]*BQ29/tblSOW7[[#This Row],[Duration]]</f>
        <v>0</v>
      </c>
      <c r="AH29" s="74">
        <f>tblSOW7[[#This Row],[FTE Cost]]*tblSOW7[[#This Row],[% work on project]]*AT29/tblSOW7[[#This Row],[Duration]]+tblSOW7[[#This Row],[Task Cost]]*BF29+tblSOW7[[#This Row],[External Expenses/Revenues USD]]*BR29/tblSOW7[[#This Row],[Duration]]</f>
        <v>0</v>
      </c>
      <c r="AI29" s="74">
        <f>tblSOW7[[#This Row],[FTE Cost]]*tblSOW7[[#This Row],[% work on project]]*AU29/tblSOW7[[#This Row],[Duration]]+tblSOW7[[#This Row],[Task Cost]]*BG29+tblSOW7[[#This Row],[External Expenses/Revenues USD]]*BS29/tblSOW7[[#This Row],[Duration]]</f>
        <v>0</v>
      </c>
      <c r="AJ29" s="74">
        <f>tblSOW7[[#This Row],[FTE Cost]]*tblSOW7[[#This Row],[% work on project]]*AV29/tblSOW7[[#This Row],[Duration]]+tblSOW7[[#This Row],[Task Cost]]*BH29+tblSOW7[[#This Row],[External Expenses/Revenues USD]]*BT29/tblSOW7[[#This Row],[Duration]]</f>
        <v>0</v>
      </c>
      <c r="AK29" s="74">
        <f t="shared" si="7"/>
        <v>1</v>
      </c>
      <c r="AL29" s="74">
        <f t="shared" si="7"/>
        <v>1</v>
      </c>
      <c r="AM29" s="74">
        <f t="shared" si="7"/>
        <v>1</v>
      </c>
      <c r="AN29" s="74">
        <f t="shared" si="7"/>
        <v>0</v>
      </c>
      <c r="AO29" s="74">
        <f t="shared" si="7"/>
        <v>0</v>
      </c>
      <c r="AP29" s="74">
        <f t="shared" si="7"/>
        <v>0</v>
      </c>
      <c r="AQ29" s="74">
        <f t="shared" si="7"/>
        <v>0</v>
      </c>
      <c r="AR29" s="74">
        <f t="shared" si="7"/>
        <v>0</v>
      </c>
      <c r="AS29" s="74">
        <f t="shared" si="7"/>
        <v>0</v>
      </c>
      <c r="AT29" s="74">
        <f t="shared" si="7"/>
        <v>0</v>
      </c>
      <c r="AU29" s="74">
        <f t="shared" si="7"/>
        <v>0</v>
      </c>
      <c r="AV29" s="74">
        <f t="shared" si="7"/>
        <v>0</v>
      </c>
      <c r="AW29" s="74">
        <f t="shared" si="8"/>
        <v>22</v>
      </c>
      <c r="AX29" s="74">
        <f t="shared" si="8"/>
        <v>22</v>
      </c>
      <c r="AY29" s="74">
        <f t="shared" si="8"/>
        <v>22</v>
      </c>
      <c r="AZ29" s="74">
        <f t="shared" si="8"/>
        <v>0</v>
      </c>
      <c r="BA29" s="74">
        <f t="shared" si="8"/>
        <v>0</v>
      </c>
      <c r="BB29" s="74">
        <f t="shared" si="8"/>
        <v>0</v>
      </c>
      <c r="BC29" s="74">
        <f t="shared" si="8"/>
        <v>0</v>
      </c>
      <c r="BD29" s="74">
        <f t="shared" si="8"/>
        <v>0</v>
      </c>
      <c r="BE29" s="74">
        <f t="shared" si="8"/>
        <v>0</v>
      </c>
      <c r="BF29" s="74">
        <f t="shared" si="8"/>
        <v>0</v>
      </c>
      <c r="BG29" s="74">
        <f t="shared" si="8"/>
        <v>0</v>
      </c>
      <c r="BH29" s="74">
        <f t="shared" si="8"/>
        <v>0</v>
      </c>
      <c r="BI29" s="74">
        <f t="shared" si="10"/>
        <v>1</v>
      </c>
      <c r="BJ29" s="74">
        <f t="shared" si="10"/>
        <v>1</v>
      </c>
      <c r="BK29" s="74">
        <f t="shared" si="10"/>
        <v>1</v>
      </c>
      <c r="BL29" s="74">
        <f t="shared" si="10"/>
        <v>0</v>
      </c>
      <c r="BM29" s="74">
        <f t="shared" si="10"/>
        <v>0</v>
      </c>
      <c r="BN29" s="74">
        <f t="shared" si="10"/>
        <v>0</v>
      </c>
      <c r="BO29" s="74">
        <f t="shared" si="10"/>
        <v>0</v>
      </c>
      <c r="BP29" s="74">
        <f t="shared" si="10"/>
        <v>0</v>
      </c>
      <c r="BQ29" s="74">
        <f t="shared" si="10"/>
        <v>0</v>
      </c>
      <c r="BR29" s="74">
        <f t="shared" si="10"/>
        <v>0</v>
      </c>
      <c r="BS29" s="74">
        <f t="shared" si="10"/>
        <v>0</v>
      </c>
      <c r="BT29" s="74">
        <f t="shared" si="10"/>
        <v>0</v>
      </c>
      <c r="BU29" s="74">
        <f>SUM(tblSOW7[[#This Row],[P1]:[P12]])</f>
        <v>3</v>
      </c>
      <c r="BV29" s="74">
        <f xml:space="preserve"> IF(AND(ISNUMBER(SEARCH("-E000",tblSOW7[[#This Row],[Budget Item]])), ISERROR(VLOOKUP(tblSOW7[[#This Row],[Employee name ]],[29]Parameters!CP:DH,19,0))),VLOOKUP(tblSOW7[[#This Row],[Employee name ]],[29]Parameters!CP:DH,19,0),IFERROR(VLOOKUP(tblSOW7[[#This Row],[Employee name ]],[29]Parameters!CP:DH,19,0),0))</f>
        <v>0</v>
      </c>
      <c r="BW29" s="74">
        <f>IFERROR(VLOOKUP(K29,[29]Parameters!BN:BW,10,0),0)</f>
        <v>854.45565710605922</v>
      </c>
    </row>
    <row r="30" spans="1:75" s="75" customFormat="1">
      <c r="A30" s="67" t="str">
        <f>CONCATENATE(INDEX([29]Parameters!$U$1:$V$20,MATCH(C30,[29]Parameters!$V$1:$V$20,0),1),"/",VLOOKUP(D30,[29]Parameters!$CG$1:$CH$12,2,0),".",E30,".",H30,".",LEFT(J30,3),"-",LEFT(K30,4))</f>
        <v>B70/20.P252.404.950-T102</v>
      </c>
      <c r="B30" s="67" t="s">
        <v>123</v>
      </c>
      <c r="C30" s="67" t="s">
        <v>123</v>
      </c>
      <c r="D30" s="39" t="s">
        <v>95</v>
      </c>
      <c r="E30" s="40" t="str">
        <f>VLOOKUP(F30,[29]Parameters!P:T,4,0)</f>
        <v>P252</v>
      </c>
      <c r="F30" s="39" t="s">
        <v>124</v>
      </c>
      <c r="G30" s="67"/>
      <c r="H30" s="44">
        <f>INDEX([29]Parameters!$B:$C,MATCH(I30,[29]Parameters!$C:$C,0),1)</f>
        <v>404</v>
      </c>
      <c r="I30" s="68" t="s">
        <v>101</v>
      </c>
      <c r="J30" s="68" t="s">
        <v>94</v>
      </c>
      <c r="K30" s="68" t="s">
        <v>102</v>
      </c>
      <c r="L30" s="67" t="str">
        <f>IFERROR(VLOOKUP(tblSOW7[[#This Row],[Employee name ]],[29]Parameters!CP:CS,4,0),"")</f>
        <v/>
      </c>
      <c r="M30" s="82"/>
      <c r="N30" s="67" t="s">
        <v>152</v>
      </c>
      <c r="O30" s="76"/>
      <c r="P30" s="72">
        <v>44958</v>
      </c>
      <c r="Q30" s="72">
        <v>45046</v>
      </c>
      <c r="R30" s="67"/>
      <c r="S30" s="67">
        <f>IF(OR(P30="",Q30=""),0,MONTH(Q30)-MONTH(P30)+1)</f>
        <v>3</v>
      </c>
      <c r="T30" s="68"/>
      <c r="U30" s="68">
        <v>15</v>
      </c>
      <c r="V30" s="68"/>
      <c r="W30" s="68" t="str">
        <f>IF(AND(ISNUMBER(SEARCH("-T",tblSOW7[[#This Row],[Budget Item]])),NOT(ISNUMBER(tblSOW7[[#This Row],[Task Units]]))),"Please Enter Task Units",
IF(AND(ISNUMBER(SEARCH("-E000",tblSOW7[[#This Row],[Budget Item]])),NOT(ISNUMBER(tblSOW7[[#This Row],[% work on project]]))),"Please Enter Organic FTE",
IF(AND(ISNUMBER(SEARCH("-E999",tblSOW7[[#This Row],[Budget Item]])),NOT(ISNUMBER(tblSOW7[[#This Row],[External Expenses/Revenues USD]]))),"Please Enter External Expenses",
"")))</f>
        <v/>
      </c>
      <c r="X30" s="67">
        <f>SUM(tblSOW7[[#This Row],[Jan 2023 USD]:[Dec 2023 USD]])</f>
        <v>15397.644310770063</v>
      </c>
      <c r="Y30" s="74">
        <f>tblSOW7[[#This Row],[FTE Cost]]*tblSOW7[[#This Row],[% work on project]]*AK30/tblSOW7[[#This Row],[Duration]]+tblSOW7[[#This Row],[Task Cost]]*AW30+tblSOW7[[#This Row],[External Expenses/Revenues USD]]*BI30/tblSOW7[[#This Row],[Duration]]</f>
        <v>0</v>
      </c>
      <c r="Z30" s="74">
        <f>tblSOW7[[#This Row],[FTE Cost]]*tblSOW7[[#This Row],[% work on project]]*AL30/tblSOW7[[#This Row],[Duration]]+tblSOW7[[#This Row],[Task Cost]]*AX30+tblSOW7[[#This Row],[External Expenses/Revenues USD]]*BJ30/tblSOW7[[#This Row],[Duration]]</f>
        <v>5132.5481035900211</v>
      </c>
      <c r="AA30" s="74">
        <f>tblSOW7[[#This Row],[FTE Cost]]*tblSOW7[[#This Row],[% work on project]]*AM30/tblSOW7[[#This Row],[Duration]]+tblSOW7[[#This Row],[Task Cost]]*AY30+tblSOW7[[#This Row],[External Expenses/Revenues USD]]*BK30/tblSOW7[[#This Row],[Duration]]</f>
        <v>5132.5481035900211</v>
      </c>
      <c r="AB30" s="74">
        <f>tblSOW7[[#This Row],[FTE Cost]]*tblSOW7[[#This Row],[% work on project]]*AN30/tblSOW7[[#This Row],[Duration]]+tblSOW7[[#This Row],[Task Cost]]*AZ30+tblSOW7[[#This Row],[External Expenses/Revenues USD]]*BL30/tblSOW7[[#This Row],[Duration]]</f>
        <v>5132.5481035900211</v>
      </c>
      <c r="AC30" s="74">
        <f>tblSOW7[[#This Row],[FTE Cost]]*tblSOW7[[#This Row],[% work on project]]*AO30/tblSOW7[[#This Row],[Duration]]+tblSOW7[[#This Row],[Task Cost]]*BA30+tblSOW7[[#This Row],[External Expenses/Revenues USD]]*BM30/tblSOW7[[#This Row],[Duration]]</f>
        <v>0</v>
      </c>
      <c r="AD30" s="74">
        <f>tblSOW7[[#This Row],[FTE Cost]]*tblSOW7[[#This Row],[% work on project]]*AP30/tblSOW7[[#This Row],[Duration]]+tblSOW7[[#This Row],[Task Cost]]*BB30+tblSOW7[[#This Row],[External Expenses/Revenues USD]]*BN30/tblSOW7[[#This Row],[Duration]]</f>
        <v>0</v>
      </c>
      <c r="AE30" s="74">
        <f>tblSOW7[[#This Row],[FTE Cost]]*tblSOW7[[#This Row],[% work on project]]*AQ30/tblSOW7[[#This Row],[Duration]]+tblSOW7[[#This Row],[Task Cost]]*BC30+tblSOW7[[#This Row],[External Expenses/Revenues USD]]*BO30/tblSOW7[[#This Row],[Duration]]</f>
        <v>0</v>
      </c>
      <c r="AF30" s="74">
        <f>tblSOW7[[#This Row],[FTE Cost]]*tblSOW7[[#This Row],[% work on project]]*AR30/tblSOW7[[#This Row],[Duration]]+tblSOW7[[#This Row],[Task Cost]]*BD30+tblSOW7[[#This Row],[External Expenses/Revenues USD]]*BP30/tblSOW7[[#This Row],[Duration]]</f>
        <v>0</v>
      </c>
      <c r="AG30" s="74">
        <f>tblSOW7[[#This Row],[FTE Cost]]*tblSOW7[[#This Row],[% work on project]]*AS30/tblSOW7[[#This Row],[Duration]]+tblSOW7[[#This Row],[Task Cost]]*BE30+tblSOW7[[#This Row],[External Expenses/Revenues USD]]*BQ30/tblSOW7[[#This Row],[Duration]]</f>
        <v>0</v>
      </c>
      <c r="AH30" s="74">
        <f>tblSOW7[[#This Row],[FTE Cost]]*tblSOW7[[#This Row],[% work on project]]*AT30/tblSOW7[[#This Row],[Duration]]+tblSOW7[[#This Row],[Task Cost]]*BF30+tblSOW7[[#This Row],[External Expenses/Revenues USD]]*BR30/tblSOW7[[#This Row],[Duration]]</f>
        <v>0</v>
      </c>
      <c r="AI30" s="74">
        <f>tblSOW7[[#This Row],[FTE Cost]]*tblSOW7[[#This Row],[% work on project]]*AU30/tblSOW7[[#This Row],[Duration]]+tblSOW7[[#This Row],[Task Cost]]*BG30+tblSOW7[[#This Row],[External Expenses/Revenues USD]]*BS30/tblSOW7[[#This Row],[Duration]]</f>
        <v>0</v>
      </c>
      <c r="AJ30" s="74">
        <f>tblSOW7[[#This Row],[FTE Cost]]*tblSOW7[[#This Row],[% work on project]]*AV30/tblSOW7[[#This Row],[Duration]]+tblSOW7[[#This Row],[Task Cost]]*BH30+tblSOW7[[#This Row],[External Expenses/Revenues USD]]*BT30/tblSOW7[[#This Row],[Duration]]</f>
        <v>0</v>
      </c>
      <c r="AK30" s="74">
        <f t="shared" si="7"/>
        <v>0</v>
      </c>
      <c r="AL30" s="74">
        <f t="shared" si="7"/>
        <v>1</v>
      </c>
      <c r="AM30" s="74">
        <f t="shared" si="7"/>
        <v>1</v>
      </c>
      <c r="AN30" s="74">
        <f t="shared" si="7"/>
        <v>1</v>
      </c>
      <c r="AO30" s="74">
        <f t="shared" si="7"/>
        <v>0</v>
      </c>
      <c r="AP30" s="74">
        <f t="shared" si="7"/>
        <v>0</v>
      </c>
      <c r="AQ30" s="74">
        <f t="shared" si="7"/>
        <v>0</v>
      </c>
      <c r="AR30" s="74">
        <f t="shared" si="7"/>
        <v>0</v>
      </c>
      <c r="AS30" s="74">
        <f t="shared" si="7"/>
        <v>0</v>
      </c>
      <c r="AT30" s="74">
        <f t="shared" si="7"/>
        <v>0</v>
      </c>
      <c r="AU30" s="74">
        <f t="shared" si="7"/>
        <v>0</v>
      </c>
      <c r="AV30" s="74">
        <f t="shared" si="7"/>
        <v>0</v>
      </c>
      <c r="AW30" s="74">
        <f t="shared" si="8"/>
        <v>0</v>
      </c>
      <c r="AX30" s="74">
        <f t="shared" si="8"/>
        <v>5</v>
      </c>
      <c r="AY30" s="74">
        <f t="shared" si="8"/>
        <v>5</v>
      </c>
      <c r="AZ30" s="74">
        <f t="shared" si="8"/>
        <v>5</v>
      </c>
      <c r="BA30" s="74">
        <f t="shared" si="8"/>
        <v>0</v>
      </c>
      <c r="BB30" s="74">
        <f t="shared" si="8"/>
        <v>0</v>
      </c>
      <c r="BC30" s="74">
        <f t="shared" si="8"/>
        <v>0</v>
      </c>
      <c r="BD30" s="74">
        <f t="shared" si="8"/>
        <v>0</v>
      </c>
      <c r="BE30" s="74">
        <f t="shared" si="8"/>
        <v>0</v>
      </c>
      <c r="BF30" s="74">
        <f t="shared" si="8"/>
        <v>0</v>
      </c>
      <c r="BG30" s="74">
        <f t="shared" si="8"/>
        <v>0</v>
      </c>
      <c r="BH30" s="74">
        <f t="shared" si="8"/>
        <v>0</v>
      </c>
      <c r="BI30" s="74">
        <f t="shared" si="10"/>
        <v>0</v>
      </c>
      <c r="BJ30" s="74">
        <f t="shared" si="10"/>
        <v>1</v>
      </c>
      <c r="BK30" s="74">
        <f t="shared" si="10"/>
        <v>1</v>
      </c>
      <c r="BL30" s="74">
        <f t="shared" si="10"/>
        <v>1</v>
      </c>
      <c r="BM30" s="74">
        <f t="shared" si="10"/>
        <v>0</v>
      </c>
      <c r="BN30" s="74">
        <f t="shared" si="10"/>
        <v>0</v>
      </c>
      <c r="BO30" s="74">
        <f t="shared" si="10"/>
        <v>0</v>
      </c>
      <c r="BP30" s="74">
        <f t="shared" si="10"/>
        <v>0</v>
      </c>
      <c r="BQ30" s="74">
        <f t="shared" si="10"/>
        <v>0</v>
      </c>
      <c r="BR30" s="74">
        <f t="shared" si="10"/>
        <v>0</v>
      </c>
      <c r="BS30" s="74">
        <f t="shared" si="10"/>
        <v>0</v>
      </c>
      <c r="BT30" s="74">
        <f t="shared" si="10"/>
        <v>0</v>
      </c>
      <c r="BU30" s="74">
        <f>SUM(tblSOW7[[#This Row],[P1]:[P12]])</f>
        <v>3</v>
      </c>
      <c r="BV30" s="74">
        <f>IFERROR(VLOOKUP(H30,[29]Parameters!CK:CN,3,0),0)</f>
        <v>0</v>
      </c>
      <c r="BW30" s="74">
        <f>IFERROR(VLOOKUP(K30,[29]Parameters!BN:BW,10,0),0)</f>
        <v>1026.5096207180043</v>
      </c>
    </row>
    <row r="31" spans="1:75" s="75" customFormat="1">
      <c r="A31" s="67" t="str">
        <f>CONCATENATE(INDEX([29]Parameters!$U$1:$V$20,MATCH(C31,[29]Parameters!$V$1:$V$20,0),1),"/",VLOOKUP(D31,[29]Parameters!$CG$1:$CH$12,2,0),".",E31,".",H31,".",LEFT(J31,3),"-",LEFT(K31,4))</f>
        <v>B70/20.P999.422.950-T115</v>
      </c>
      <c r="B31" s="67" t="s">
        <v>123</v>
      </c>
      <c r="C31" s="67" t="s">
        <v>123</v>
      </c>
      <c r="D31" s="39" t="s">
        <v>95</v>
      </c>
      <c r="E31" s="40" t="str">
        <f>VLOOKUP(F31,[29]Parameters!P:T,4,0)</f>
        <v>P999</v>
      </c>
      <c r="F31" s="39" t="s">
        <v>92</v>
      </c>
      <c r="G31" s="67"/>
      <c r="H31" s="44">
        <f>INDEX([29]Parameters!$B:$C,MATCH(I31,[29]Parameters!$C:$C,0),1)</f>
        <v>422</v>
      </c>
      <c r="I31" s="68" t="s">
        <v>110</v>
      </c>
      <c r="J31" s="68" t="s">
        <v>94</v>
      </c>
      <c r="K31" s="102" t="s">
        <v>121</v>
      </c>
      <c r="L31" s="67" t="str">
        <f>IFERROR(VLOOKUP(tblSOW7[[#This Row],[Employee name ]],[29]Parameters!CP:CS,4,0),"")</f>
        <v/>
      </c>
      <c r="M31" s="82"/>
      <c r="N31" s="67" t="s">
        <v>151</v>
      </c>
      <c r="O31" s="76"/>
      <c r="P31" s="72">
        <v>44958</v>
      </c>
      <c r="Q31" s="72">
        <v>45046</v>
      </c>
      <c r="R31" s="67"/>
      <c r="S31" s="67">
        <f>IF(OR(P31="",Q31=""),0,MONTH(Q31)-MONTH(P31)+1)</f>
        <v>3</v>
      </c>
      <c r="T31" s="68"/>
      <c r="U31" s="68">
        <v>3</v>
      </c>
      <c r="V31" s="68"/>
      <c r="W31" s="68" t="str">
        <f>IF(AND(ISNUMBER(SEARCH("-T",tblSOW7[[#This Row],[Budget Item]])),NOT(ISNUMBER(tblSOW7[[#This Row],[Task Units]]))),"Please Enter Task Units",
IF(AND(ISNUMBER(SEARCH("-E000",tblSOW7[[#This Row],[Budget Item]])),NOT(ISNUMBER(tblSOW7[[#This Row],[% work on project]]))),"Please Enter Organic FTE",
IF(AND(ISNUMBER(SEARCH("-E999",tblSOW7[[#This Row],[Budget Item]])),NOT(ISNUMBER(tblSOW7[[#This Row],[External Expenses/Revenues USD]]))),"Please Enter External Expenses",
"")))</f>
        <v/>
      </c>
      <c r="X31" s="67">
        <f>SUM(tblSOW7[[#This Row],[Jan 2023 USD]:[Dec 2023 USD]])</f>
        <v>3711.5892719201038</v>
      </c>
      <c r="Y31" s="74">
        <f>tblSOW7[[#This Row],[FTE Cost]]*tblSOW7[[#This Row],[% work on project]]*AK31/tblSOW7[[#This Row],[Duration]]+tblSOW7[[#This Row],[Task Cost]]*AW31+tblSOW7[[#This Row],[External Expenses/Revenues USD]]*BI31/tblSOW7[[#This Row],[Duration]]</f>
        <v>0</v>
      </c>
      <c r="Z31" s="74">
        <f>tblSOW7[[#This Row],[FTE Cost]]*tblSOW7[[#This Row],[% work on project]]*AL31/tblSOW7[[#This Row],[Duration]]+tblSOW7[[#This Row],[Task Cost]]*AX31+tblSOW7[[#This Row],[External Expenses/Revenues USD]]*BJ31/tblSOW7[[#This Row],[Duration]]</f>
        <v>1237.1964239733679</v>
      </c>
      <c r="AA31" s="74">
        <f>tblSOW7[[#This Row],[FTE Cost]]*tblSOW7[[#This Row],[% work on project]]*AM31/tblSOW7[[#This Row],[Duration]]+tblSOW7[[#This Row],[Task Cost]]*AY31+tblSOW7[[#This Row],[External Expenses/Revenues USD]]*BK31/tblSOW7[[#This Row],[Duration]]</f>
        <v>1237.1964239733679</v>
      </c>
      <c r="AB31" s="74">
        <f>tblSOW7[[#This Row],[FTE Cost]]*tblSOW7[[#This Row],[% work on project]]*AN31/tblSOW7[[#This Row],[Duration]]+tblSOW7[[#This Row],[Task Cost]]*AZ31+tblSOW7[[#This Row],[External Expenses/Revenues USD]]*BL31/tblSOW7[[#This Row],[Duration]]</f>
        <v>1237.1964239733679</v>
      </c>
      <c r="AC31" s="74">
        <f>tblSOW7[[#This Row],[FTE Cost]]*tblSOW7[[#This Row],[% work on project]]*AO31/tblSOW7[[#This Row],[Duration]]+tblSOW7[[#This Row],[Task Cost]]*BA31+tblSOW7[[#This Row],[External Expenses/Revenues USD]]*BM31/tblSOW7[[#This Row],[Duration]]</f>
        <v>0</v>
      </c>
      <c r="AD31" s="74">
        <f>tblSOW7[[#This Row],[FTE Cost]]*tblSOW7[[#This Row],[% work on project]]*AP31/tblSOW7[[#This Row],[Duration]]+tblSOW7[[#This Row],[Task Cost]]*BB31+tblSOW7[[#This Row],[External Expenses/Revenues USD]]*BN31/tblSOW7[[#This Row],[Duration]]</f>
        <v>0</v>
      </c>
      <c r="AE31" s="74">
        <f>tblSOW7[[#This Row],[FTE Cost]]*tblSOW7[[#This Row],[% work on project]]*AQ31/tblSOW7[[#This Row],[Duration]]+tblSOW7[[#This Row],[Task Cost]]*BC31+tblSOW7[[#This Row],[External Expenses/Revenues USD]]*BO31/tblSOW7[[#This Row],[Duration]]</f>
        <v>0</v>
      </c>
      <c r="AF31" s="74">
        <f>tblSOW7[[#This Row],[FTE Cost]]*tblSOW7[[#This Row],[% work on project]]*AR31/tblSOW7[[#This Row],[Duration]]+tblSOW7[[#This Row],[Task Cost]]*BD31+tblSOW7[[#This Row],[External Expenses/Revenues USD]]*BP31/tblSOW7[[#This Row],[Duration]]</f>
        <v>0</v>
      </c>
      <c r="AG31" s="74">
        <f>tblSOW7[[#This Row],[FTE Cost]]*tblSOW7[[#This Row],[% work on project]]*AS31/tblSOW7[[#This Row],[Duration]]+tblSOW7[[#This Row],[Task Cost]]*BE31+tblSOW7[[#This Row],[External Expenses/Revenues USD]]*BQ31/tblSOW7[[#This Row],[Duration]]</f>
        <v>0</v>
      </c>
      <c r="AH31" s="74">
        <f>tblSOW7[[#This Row],[FTE Cost]]*tblSOW7[[#This Row],[% work on project]]*AT31/tblSOW7[[#This Row],[Duration]]+tblSOW7[[#This Row],[Task Cost]]*BF31+tblSOW7[[#This Row],[External Expenses/Revenues USD]]*BR31/tblSOW7[[#This Row],[Duration]]</f>
        <v>0</v>
      </c>
      <c r="AI31" s="74">
        <f>tblSOW7[[#This Row],[FTE Cost]]*tblSOW7[[#This Row],[% work on project]]*AU31/tblSOW7[[#This Row],[Duration]]+tblSOW7[[#This Row],[Task Cost]]*BG31+tblSOW7[[#This Row],[External Expenses/Revenues USD]]*BS31/tblSOW7[[#This Row],[Duration]]</f>
        <v>0</v>
      </c>
      <c r="AJ31" s="74">
        <f>tblSOW7[[#This Row],[FTE Cost]]*tblSOW7[[#This Row],[% work on project]]*AV31/tblSOW7[[#This Row],[Duration]]+tblSOW7[[#This Row],[Task Cost]]*BH31+tblSOW7[[#This Row],[External Expenses/Revenues USD]]*BT31/tblSOW7[[#This Row],[Duration]]</f>
        <v>0</v>
      </c>
      <c r="AK31" s="74">
        <f t="shared" si="7"/>
        <v>0</v>
      </c>
      <c r="AL31" s="74">
        <f t="shared" si="7"/>
        <v>1</v>
      </c>
      <c r="AM31" s="74">
        <f t="shared" si="7"/>
        <v>1</v>
      </c>
      <c r="AN31" s="74">
        <f t="shared" si="7"/>
        <v>1</v>
      </c>
      <c r="AO31" s="74">
        <f t="shared" si="7"/>
        <v>0</v>
      </c>
      <c r="AP31" s="74">
        <f t="shared" si="7"/>
        <v>0</v>
      </c>
      <c r="AQ31" s="74">
        <f t="shared" si="7"/>
        <v>0</v>
      </c>
      <c r="AR31" s="74">
        <f t="shared" si="7"/>
        <v>0</v>
      </c>
      <c r="AS31" s="74">
        <f t="shared" si="7"/>
        <v>0</v>
      </c>
      <c r="AT31" s="74">
        <f t="shared" si="7"/>
        <v>0</v>
      </c>
      <c r="AU31" s="74">
        <f t="shared" si="7"/>
        <v>0</v>
      </c>
      <c r="AV31" s="74">
        <f t="shared" si="7"/>
        <v>0</v>
      </c>
      <c r="AW31" s="74">
        <f t="shared" si="8"/>
        <v>0</v>
      </c>
      <c r="AX31" s="74">
        <f t="shared" si="8"/>
        <v>1</v>
      </c>
      <c r="AY31" s="74">
        <f t="shared" si="8"/>
        <v>1</v>
      </c>
      <c r="AZ31" s="74">
        <f t="shared" si="8"/>
        <v>1</v>
      </c>
      <c r="BA31" s="74">
        <f t="shared" si="8"/>
        <v>0</v>
      </c>
      <c r="BB31" s="74">
        <f t="shared" si="8"/>
        <v>0</v>
      </c>
      <c r="BC31" s="74">
        <f t="shared" si="8"/>
        <v>0</v>
      </c>
      <c r="BD31" s="74">
        <f t="shared" si="8"/>
        <v>0</v>
      </c>
      <c r="BE31" s="74">
        <f t="shared" si="8"/>
        <v>0</v>
      </c>
      <c r="BF31" s="74">
        <f t="shared" si="8"/>
        <v>0</v>
      </c>
      <c r="BG31" s="74">
        <f t="shared" si="8"/>
        <v>0</v>
      </c>
      <c r="BH31" s="74">
        <f t="shared" si="8"/>
        <v>0</v>
      </c>
      <c r="BI31" s="74">
        <f t="shared" si="10"/>
        <v>0</v>
      </c>
      <c r="BJ31" s="74">
        <f t="shared" si="10"/>
        <v>1</v>
      </c>
      <c r="BK31" s="74">
        <f t="shared" si="10"/>
        <v>1</v>
      </c>
      <c r="BL31" s="74">
        <f t="shared" si="10"/>
        <v>1</v>
      </c>
      <c r="BM31" s="74">
        <f t="shared" si="10"/>
        <v>0</v>
      </c>
      <c r="BN31" s="74">
        <f t="shared" si="10"/>
        <v>0</v>
      </c>
      <c r="BO31" s="74">
        <f t="shared" si="10"/>
        <v>0</v>
      </c>
      <c r="BP31" s="74">
        <f t="shared" si="10"/>
        <v>0</v>
      </c>
      <c r="BQ31" s="74">
        <f t="shared" si="10"/>
        <v>0</v>
      </c>
      <c r="BR31" s="74">
        <f t="shared" si="10"/>
        <v>0</v>
      </c>
      <c r="BS31" s="74">
        <f t="shared" si="10"/>
        <v>0</v>
      </c>
      <c r="BT31" s="74">
        <f t="shared" si="10"/>
        <v>0</v>
      </c>
      <c r="BU31" s="74">
        <f>SUM(tblSOW7[[#This Row],[P1]:[P12]])</f>
        <v>3</v>
      </c>
      <c r="BV31" s="74">
        <f>IFERROR(VLOOKUP(H31,[29]Parameters!CK:CN,3,0),0)</f>
        <v>0</v>
      </c>
      <c r="BW31" s="74">
        <f>IFERROR(VLOOKUP(K31,[29]Parameters!BN:BW,10,0),0)</f>
        <v>1237.1964239733679</v>
      </c>
    </row>
    <row r="32" spans="1:75" s="75" customFormat="1">
      <c r="A32" s="67" t="str">
        <f>CONCATENATE(INDEX([29]Parameters!$U$1:$V$20,MATCH(C32,[29]Parameters!$V$1:$V$20,0),1),"/",VLOOKUP(D32,[29]Parameters!$CG$1:$CH$12,2,0),".",E32,".",H32,".",LEFT(J32,3),"-",LEFT(K32,4))</f>
        <v>B70/20.P999.427.950-T109</v>
      </c>
      <c r="B32" s="67" t="s">
        <v>123</v>
      </c>
      <c r="C32" s="67" t="s">
        <v>123</v>
      </c>
      <c r="D32" s="39" t="s">
        <v>95</v>
      </c>
      <c r="E32" s="40" t="str">
        <f>VLOOKUP(F32,[29]Parameters!P:T,4,0)</f>
        <v>P999</v>
      </c>
      <c r="F32" s="39" t="s">
        <v>92</v>
      </c>
      <c r="G32" s="67"/>
      <c r="H32" s="67">
        <f>INDEX([29]Parameters!$B:$C,MATCH(I32,[29]Parameters!$C:$C,0),1)</f>
        <v>427</v>
      </c>
      <c r="I32" s="68" t="s">
        <v>104</v>
      </c>
      <c r="J32" s="68" t="s">
        <v>94</v>
      </c>
      <c r="K32" s="68" t="s">
        <v>105</v>
      </c>
      <c r="L32" s="68" t="str">
        <f>IFERROR(VLOOKUP(tblSOW7[[#This Row],[Employee name ]],[29]Parameters!CP:CS,4,0),"")</f>
        <v/>
      </c>
      <c r="M32" s="69"/>
      <c r="N32" s="67" t="s">
        <v>153</v>
      </c>
      <c r="O32" s="76"/>
      <c r="P32" s="72">
        <v>45108</v>
      </c>
      <c r="Q32" s="72">
        <v>45291</v>
      </c>
      <c r="R32" s="67"/>
      <c r="S32" s="67">
        <f t="shared" ref="S32:S35" si="11">IF(OR(P32="",Q32=""),0,MONTH(Q32)-MONTH(P32)+1)</f>
        <v>6</v>
      </c>
      <c r="T32" s="68"/>
      <c r="U32" s="68">
        <v>10</v>
      </c>
      <c r="V32" s="68"/>
      <c r="W32" s="68"/>
      <c r="X32" s="67">
        <f>SUM(tblSOW7[[#This Row],[Jan 2023 USD]:[Dec 2023 USD]])</f>
        <v>8274.4320670591114</v>
      </c>
      <c r="Y32" s="74">
        <f>tblSOW7[[#This Row],[FTE Cost]]*tblSOW7[[#This Row],[% work on project]]*AK32/tblSOW7[[#This Row],[Duration]]+tblSOW7[[#This Row],[Task Cost]]*AW32+tblSOW7[[#This Row],[External Expenses/Revenues USD]]*BI32/tblSOW7[[#This Row],[Duration]]</f>
        <v>0</v>
      </c>
      <c r="Z32" s="74">
        <f>tblSOW7[[#This Row],[FTE Cost]]*tblSOW7[[#This Row],[% work on project]]*AL32/tblSOW7[[#This Row],[Duration]]+tblSOW7[[#This Row],[Task Cost]]*AX32+tblSOW7[[#This Row],[External Expenses/Revenues USD]]*BJ32/tblSOW7[[#This Row],[Duration]]</f>
        <v>0</v>
      </c>
      <c r="AA32" s="74">
        <f>tblSOW7[[#This Row],[FTE Cost]]*tblSOW7[[#This Row],[% work on project]]*AM32/tblSOW7[[#This Row],[Duration]]+tblSOW7[[#This Row],[Task Cost]]*AY32+tblSOW7[[#This Row],[External Expenses/Revenues USD]]*BK32/tblSOW7[[#This Row],[Duration]]</f>
        <v>0</v>
      </c>
      <c r="AB32" s="74">
        <f>tblSOW7[[#This Row],[FTE Cost]]*tblSOW7[[#This Row],[% work on project]]*AN32/tblSOW7[[#This Row],[Duration]]+tblSOW7[[#This Row],[Task Cost]]*AZ32+tblSOW7[[#This Row],[External Expenses/Revenues USD]]*BL32/tblSOW7[[#This Row],[Duration]]</f>
        <v>0</v>
      </c>
      <c r="AC32" s="74">
        <f>tblSOW7[[#This Row],[FTE Cost]]*tblSOW7[[#This Row],[% work on project]]*AO32/tblSOW7[[#This Row],[Duration]]+tblSOW7[[#This Row],[Task Cost]]*BA32+tblSOW7[[#This Row],[External Expenses/Revenues USD]]*BM32/tblSOW7[[#This Row],[Duration]]</f>
        <v>0</v>
      </c>
      <c r="AD32" s="74">
        <f>tblSOW7[[#This Row],[FTE Cost]]*tblSOW7[[#This Row],[% work on project]]*AP32/tblSOW7[[#This Row],[Duration]]+tblSOW7[[#This Row],[Task Cost]]*BB32+tblSOW7[[#This Row],[External Expenses/Revenues USD]]*BN32/tblSOW7[[#This Row],[Duration]]</f>
        <v>0</v>
      </c>
      <c r="AE32" s="74">
        <f>tblSOW7[[#This Row],[FTE Cost]]*tblSOW7[[#This Row],[% work on project]]*AQ32/tblSOW7[[#This Row],[Duration]]+tblSOW7[[#This Row],[Task Cost]]*BC32+tblSOW7[[#This Row],[External Expenses/Revenues USD]]*BO32/tblSOW7[[#This Row],[Duration]]</f>
        <v>1379.0720111765186</v>
      </c>
      <c r="AF32" s="74">
        <f>tblSOW7[[#This Row],[FTE Cost]]*tblSOW7[[#This Row],[% work on project]]*AR32/tblSOW7[[#This Row],[Duration]]+tblSOW7[[#This Row],[Task Cost]]*BD32+tblSOW7[[#This Row],[External Expenses/Revenues USD]]*BP32/tblSOW7[[#This Row],[Duration]]</f>
        <v>1379.0720111765186</v>
      </c>
      <c r="AG32" s="74">
        <f>tblSOW7[[#This Row],[FTE Cost]]*tblSOW7[[#This Row],[% work on project]]*AS32/tblSOW7[[#This Row],[Duration]]+tblSOW7[[#This Row],[Task Cost]]*BE32+tblSOW7[[#This Row],[External Expenses/Revenues USD]]*BQ32/tblSOW7[[#This Row],[Duration]]</f>
        <v>1379.0720111765186</v>
      </c>
      <c r="AH32" s="74">
        <f>tblSOW7[[#This Row],[FTE Cost]]*tblSOW7[[#This Row],[% work on project]]*AT32/tblSOW7[[#This Row],[Duration]]+tblSOW7[[#This Row],[Task Cost]]*BF32+tblSOW7[[#This Row],[External Expenses/Revenues USD]]*BR32/tblSOW7[[#This Row],[Duration]]</f>
        <v>1379.0720111765186</v>
      </c>
      <c r="AI32" s="74">
        <f>tblSOW7[[#This Row],[FTE Cost]]*tblSOW7[[#This Row],[% work on project]]*AU32/tblSOW7[[#This Row],[Duration]]+tblSOW7[[#This Row],[Task Cost]]*BG32+tblSOW7[[#This Row],[External Expenses/Revenues USD]]*BS32/tblSOW7[[#This Row],[Duration]]</f>
        <v>1379.0720111765186</v>
      </c>
      <c r="AJ32" s="74">
        <f>tblSOW7[[#This Row],[FTE Cost]]*tblSOW7[[#This Row],[% work on project]]*AV32/tblSOW7[[#This Row],[Duration]]+tblSOW7[[#This Row],[Task Cost]]*BH32+tblSOW7[[#This Row],[External Expenses/Revenues USD]]*BT32/tblSOW7[[#This Row],[Duration]]</f>
        <v>1379.0720111765186</v>
      </c>
      <c r="AK32" s="74">
        <f t="shared" si="7"/>
        <v>0</v>
      </c>
      <c r="AL32" s="74">
        <f t="shared" si="7"/>
        <v>0</v>
      </c>
      <c r="AM32" s="74">
        <f t="shared" si="7"/>
        <v>0</v>
      </c>
      <c r="AN32" s="74">
        <f t="shared" si="7"/>
        <v>0</v>
      </c>
      <c r="AO32" s="74">
        <f t="shared" si="7"/>
        <v>0</v>
      </c>
      <c r="AP32" s="74">
        <f t="shared" si="7"/>
        <v>0</v>
      </c>
      <c r="AQ32" s="74">
        <f t="shared" si="7"/>
        <v>1</v>
      </c>
      <c r="AR32" s="74">
        <f t="shared" si="7"/>
        <v>1</v>
      </c>
      <c r="AS32" s="74">
        <f t="shared" si="7"/>
        <v>1</v>
      </c>
      <c r="AT32" s="74">
        <f t="shared" si="7"/>
        <v>1</v>
      </c>
      <c r="AU32" s="74">
        <f t="shared" si="7"/>
        <v>1</v>
      </c>
      <c r="AV32" s="74">
        <f t="shared" si="7"/>
        <v>1</v>
      </c>
      <c r="AW32" s="74">
        <f t="shared" si="8"/>
        <v>0</v>
      </c>
      <c r="AX32" s="74">
        <f t="shared" si="8"/>
        <v>0</v>
      </c>
      <c r="AY32" s="74">
        <f t="shared" si="8"/>
        <v>0</v>
      </c>
      <c r="AZ32" s="74">
        <f t="shared" si="8"/>
        <v>0</v>
      </c>
      <c r="BA32" s="74">
        <f t="shared" si="8"/>
        <v>0</v>
      </c>
      <c r="BB32" s="74">
        <f t="shared" si="8"/>
        <v>0</v>
      </c>
      <c r="BC32" s="74">
        <f t="shared" si="8"/>
        <v>1.6666666666666667</v>
      </c>
      <c r="BD32" s="74">
        <f t="shared" si="8"/>
        <v>1.6666666666666667</v>
      </c>
      <c r="BE32" s="74">
        <f t="shared" si="8"/>
        <v>1.6666666666666667</v>
      </c>
      <c r="BF32" s="74">
        <f t="shared" si="8"/>
        <v>1.6666666666666667</v>
      </c>
      <c r="BG32" s="74">
        <f t="shared" si="8"/>
        <v>1.6666666666666667</v>
      </c>
      <c r="BH32" s="74">
        <f t="shared" si="8"/>
        <v>1.6666666666666667</v>
      </c>
      <c r="BI32" s="74">
        <f t="shared" si="10"/>
        <v>0</v>
      </c>
      <c r="BJ32" s="74">
        <f t="shared" si="10"/>
        <v>0</v>
      </c>
      <c r="BK32" s="74">
        <f t="shared" si="10"/>
        <v>0</v>
      </c>
      <c r="BL32" s="74">
        <f t="shared" si="10"/>
        <v>0</v>
      </c>
      <c r="BM32" s="74">
        <f t="shared" si="10"/>
        <v>0</v>
      </c>
      <c r="BN32" s="74">
        <f t="shared" si="10"/>
        <v>0</v>
      </c>
      <c r="BO32" s="74">
        <f t="shared" si="10"/>
        <v>1</v>
      </c>
      <c r="BP32" s="74">
        <f t="shared" si="10"/>
        <v>1</v>
      </c>
      <c r="BQ32" s="74">
        <f t="shared" si="10"/>
        <v>1</v>
      </c>
      <c r="BR32" s="74">
        <f t="shared" si="10"/>
        <v>1</v>
      </c>
      <c r="BS32" s="74">
        <f t="shared" si="10"/>
        <v>1</v>
      </c>
      <c r="BT32" s="74">
        <f t="shared" si="10"/>
        <v>1</v>
      </c>
      <c r="BU32" s="74">
        <f>SUM(tblSOW7[[#This Row],[P1]:[P12]])</f>
        <v>6</v>
      </c>
      <c r="BV32" s="74">
        <f xml:space="preserve"> IF(AND(ISNUMBER(SEARCH("-E000",tblSOW7[[#This Row],[Budget Item]])), ISERROR(VLOOKUP(tblSOW7[[#This Row],[Employee name ]],[29]Parameters!CP:DH,19,0))),VLOOKUP(tblSOW7[[#This Row],[Employee name ]],[29]Parameters!CP:DH,19,0),IFERROR(VLOOKUP(tblSOW7[[#This Row],[Employee name ]],[29]Parameters!CP:DH,19,0),0))</f>
        <v>0</v>
      </c>
      <c r="BW32" s="74">
        <f>IFERROR(VLOOKUP(K32,[29]Parameters!BN:BW,10,0),0)</f>
        <v>827.44320670591105</v>
      </c>
    </row>
    <row r="33" spans="1:75" s="75" customFormat="1">
      <c r="A33" s="67" t="str">
        <f>CONCATENATE(INDEX([29]Parameters!$U$1:$V$20,MATCH(C33,[29]Parameters!$V$1:$V$20,0),1),"/",VLOOKUP(D33,[29]Parameters!$CG$1:$CH$12,2,0),".",E33,".",H33,".",LEFT(J33,3),"-",LEFT(K33,4))</f>
        <v>B70/20.P999.427.950-T109</v>
      </c>
      <c r="B33" s="67" t="s">
        <v>123</v>
      </c>
      <c r="C33" s="67" t="s">
        <v>123</v>
      </c>
      <c r="D33" s="39" t="s">
        <v>95</v>
      </c>
      <c r="E33" s="40" t="str">
        <f>VLOOKUP(F33,[29]Parameters!P:T,4,0)</f>
        <v>P999</v>
      </c>
      <c r="F33" s="39" t="s">
        <v>92</v>
      </c>
      <c r="G33" s="67"/>
      <c r="H33" s="67">
        <f>INDEX([29]Parameters!$B:$C,MATCH(I33,[29]Parameters!$C:$C,0),1)</f>
        <v>427</v>
      </c>
      <c r="I33" s="68" t="s">
        <v>104</v>
      </c>
      <c r="J33" s="68" t="s">
        <v>94</v>
      </c>
      <c r="K33" s="68" t="s">
        <v>105</v>
      </c>
      <c r="L33" s="68" t="str">
        <f>IFERROR(VLOOKUP(tblSOW7[[#This Row],[Employee name ]],[29]Parameters!CP:CS,4,0),"")</f>
        <v/>
      </c>
      <c r="M33" s="69"/>
      <c r="N33" s="67" t="s">
        <v>149</v>
      </c>
      <c r="O33" s="76"/>
      <c r="P33" s="72">
        <v>45109</v>
      </c>
      <c r="Q33" s="72">
        <v>45291</v>
      </c>
      <c r="R33" s="67"/>
      <c r="S33" s="67">
        <f t="shared" si="11"/>
        <v>6</v>
      </c>
      <c r="T33" s="68"/>
      <c r="U33" s="68">
        <v>2</v>
      </c>
      <c r="V33" s="68"/>
      <c r="W33" s="68"/>
      <c r="X33" s="67">
        <f>SUM(tblSOW7[[#This Row],[Jan 2023 USD]:[Dec 2023 USD]])</f>
        <v>1654.8864134118216</v>
      </c>
      <c r="Y33" s="74">
        <f>tblSOW7[[#This Row],[FTE Cost]]*tblSOW7[[#This Row],[% work on project]]*AK33/tblSOW7[[#This Row],[Duration]]+tblSOW7[[#This Row],[Task Cost]]*AW33+tblSOW7[[#This Row],[External Expenses/Revenues USD]]*BI33/tblSOW7[[#This Row],[Duration]]</f>
        <v>0</v>
      </c>
      <c r="Z33" s="74">
        <f>tblSOW7[[#This Row],[FTE Cost]]*tblSOW7[[#This Row],[% work on project]]*AL33/tblSOW7[[#This Row],[Duration]]+tblSOW7[[#This Row],[Task Cost]]*AX33+tblSOW7[[#This Row],[External Expenses/Revenues USD]]*BJ33/tblSOW7[[#This Row],[Duration]]</f>
        <v>0</v>
      </c>
      <c r="AA33" s="74">
        <f>tblSOW7[[#This Row],[FTE Cost]]*tblSOW7[[#This Row],[% work on project]]*AM33/tblSOW7[[#This Row],[Duration]]+tblSOW7[[#This Row],[Task Cost]]*AY33+tblSOW7[[#This Row],[External Expenses/Revenues USD]]*BK33/tblSOW7[[#This Row],[Duration]]</f>
        <v>0</v>
      </c>
      <c r="AB33" s="74">
        <f>tblSOW7[[#This Row],[FTE Cost]]*tblSOW7[[#This Row],[% work on project]]*AN33/tblSOW7[[#This Row],[Duration]]+tblSOW7[[#This Row],[Task Cost]]*AZ33+tblSOW7[[#This Row],[External Expenses/Revenues USD]]*BL33/tblSOW7[[#This Row],[Duration]]</f>
        <v>0</v>
      </c>
      <c r="AC33" s="74">
        <f>tblSOW7[[#This Row],[FTE Cost]]*tblSOW7[[#This Row],[% work on project]]*AO33/tblSOW7[[#This Row],[Duration]]+tblSOW7[[#This Row],[Task Cost]]*BA33+tblSOW7[[#This Row],[External Expenses/Revenues USD]]*BM33/tblSOW7[[#This Row],[Duration]]</f>
        <v>0</v>
      </c>
      <c r="AD33" s="74">
        <f>tblSOW7[[#This Row],[FTE Cost]]*tblSOW7[[#This Row],[% work on project]]*AP33/tblSOW7[[#This Row],[Duration]]+tblSOW7[[#This Row],[Task Cost]]*BB33+tblSOW7[[#This Row],[External Expenses/Revenues USD]]*BN33/tblSOW7[[#This Row],[Duration]]</f>
        <v>0</v>
      </c>
      <c r="AE33" s="74">
        <f>tblSOW7[[#This Row],[FTE Cost]]*tblSOW7[[#This Row],[% work on project]]*AQ33/tblSOW7[[#This Row],[Duration]]+tblSOW7[[#This Row],[Task Cost]]*BC33+tblSOW7[[#This Row],[External Expenses/Revenues USD]]*BO33/tblSOW7[[#This Row],[Duration]]</f>
        <v>275.81440223530365</v>
      </c>
      <c r="AF33" s="74">
        <f>tblSOW7[[#This Row],[FTE Cost]]*tblSOW7[[#This Row],[% work on project]]*AR33/tblSOW7[[#This Row],[Duration]]+tblSOW7[[#This Row],[Task Cost]]*BD33+tblSOW7[[#This Row],[External Expenses/Revenues USD]]*BP33/tblSOW7[[#This Row],[Duration]]</f>
        <v>275.81440223530365</v>
      </c>
      <c r="AG33" s="74">
        <f>tblSOW7[[#This Row],[FTE Cost]]*tblSOW7[[#This Row],[% work on project]]*AS33/tblSOW7[[#This Row],[Duration]]+tblSOW7[[#This Row],[Task Cost]]*BE33+tblSOW7[[#This Row],[External Expenses/Revenues USD]]*BQ33/tblSOW7[[#This Row],[Duration]]</f>
        <v>275.81440223530365</v>
      </c>
      <c r="AH33" s="74">
        <f>tblSOW7[[#This Row],[FTE Cost]]*tblSOW7[[#This Row],[% work on project]]*AT33/tblSOW7[[#This Row],[Duration]]+tblSOW7[[#This Row],[Task Cost]]*BF33+tblSOW7[[#This Row],[External Expenses/Revenues USD]]*BR33/tblSOW7[[#This Row],[Duration]]</f>
        <v>275.81440223530365</v>
      </c>
      <c r="AI33" s="74">
        <f>tblSOW7[[#This Row],[FTE Cost]]*tblSOW7[[#This Row],[% work on project]]*AU33/tblSOW7[[#This Row],[Duration]]+tblSOW7[[#This Row],[Task Cost]]*BG33+tblSOW7[[#This Row],[External Expenses/Revenues USD]]*BS33/tblSOW7[[#This Row],[Duration]]</f>
        <v>275.81440223530365</v>
      </c>
      <c r="AJ33" s="74">
        <f>tblSOW7[[#This Row],[FTE Cost]]*tblSOW7[[#This Row],[% work on project]]*AV33/tblSOW7[[#This Row],[Duration]]+tblSOW7[[#This Row],[Task Cost]]*BH33+tblSOW7[[#This Row],[External Expenses/Revenues USD]]*BT33/tblSOW7[[#This Row],[Duration]]</f>
        <v>275.81440223530365</v>
      </c>
      <c r="AK33" s="74">
        <f t="shared" si="7"/>
        <v>0</v>
      </c>
      <c r="AL33" s="74">
        <f t="shared" si="7"/>
        <v>0</v>
      </c>
      <c r="AM33" s="74">
        <f t="shared" si="7"/>
        <v>0</v>
      </c>
      <c r="AN33" s="74">
        <f t="shared" si="7"/>
        <v>0</v>
      </c>
      <c r="AO33" s="74">
        <f t="shared" si="7"/>
        <v>0</v>
      </c>
      <c r="AP33" s="74">
        <f t="shared" si="7"/>
        <v>0</v>
      </c>
      <c r="AQ33" s="74">
        <f t="shared" si="7"/>
        <v>1</v>
      </c>
      <c r="AR33" s="74">
        <f t="shared" si="7"/>
        <v>1</v>
      </c>
      <c r="AS33" s="74">
        <f t="shared" si="7"/>
        <v>1</v>
      </c>
      <c r="AT33" s="74">
        <f t="shared" si="7"/>
        <v>1</v>
      </c>
      <c r="AU33" s="74">
        <f t="shared" si="7"/>
        <v>1</v>
      </c>
      <c r="AV33" s="74">
        <f t="shared" si="7"/>
        <v>1</v>
      </c>
      <c r="AW33" s="74">
        <f t="shared" si="8"/>
        <v>0</v>
      </c>
      <c r="AX33" s="74">
        <f t="shared" si="8"/>
        <v>0</v>
      </c>
      <c r="AY33" s="74">
        <f t="shared" si="8"/>
        <v>0</v>
      </c>
      <c r="AZ33" s="74">
        <f t="shared" si="8"/>
        <v>0</v>
      </c>
      <c r="BA33" s="74">
        <f t="shared" si="8"/>
        <v>0</v>
      </c>
      <c r="BB33" s="74">
        <f t="shared" si="8"/>
        <v>0</v>
      </c>
      <c r="BC33" s="74">
        <f t="shared" si="8"/>
        <v>0.33333333333333331</v>
      </c>
      <c r="BD33" s="74">
        <f t="shared" si="8"/>
        <v>0.33333333333333331</v>
      </c>
      <c r="BE33" s="74">
        <f t="shared" si="8"/>
        <v>0.33333333333333331</v>
      </c>
      <c r="BF33" s="74">
        <f t="shared" si="8"/>
        <v>0.33333333333333331</v>
      </c>
      <c r="BG33" s="74">
        <f t="shared" si="8"/>
        <v>0.33333333333333331</v>
      </c>
      <c r="BH33" s="74">
        <f t="shared" si="8"/>
        <v>0.33333333333333331</v>
      </c>
      <c r="BI33" s="74">
        <f t="shared" si="10"/>
        <v>0</v>
      </c>
      <c r="BJ33" s="74">
        <f t="shared" si="10"/>
        <v>0</v>
      </c>
      <c r="BK33" s="74">
        <f t="shared" si="10"/>
        <v>0</v>
      </c>
      <c r="BL33" s="74">
        <f t="shared" si="10"/>
        <v>0</v>
      </c>
      <c r="BM33" s="74">
        <f t="shared" si="10"/>
        <v>0</v>
      </c>
      <c r="BN33" s="74">
        <f t="shared" si="10"/>
        <v>0</v>
      </c>
      <c r="BO33" s="74">
        <f t="shared" si="10"/>
        <v>1</v>
      </c>
      <c r="BP33" s="74">
        <f t="shared" si="10"/>
        <v>1</v>
      </c>
      <c r="BQ33" s="74">
        <f t="shared" si="10"/>
        <v>1</v>
      </c>
      <c r="BR33" s="74">
        <f t="shared" si="10"/>
        <v>1</v>
      </c>
      <c r="BS33" s="74">
        <f t="shared" si="10"/>
        <v>1</v>
      </c>
      <c r="BT33" s="74">
        <f t="shared" si="10"/>
        <v>1</v>
      </c>
      <c r="BU33" s="74">
        <f>SUM(tblSOW7[[#This Row],[P1]:[P12]])</f>
        <v>6</v>
      </c>
      <c r="BV33" s="74">
        <f xml:space="preserve"> IF(AND(ISNUMBER(SEARCH("-E000",tblSOW7[[#This Row],[Budget Item]])), ISERROR(VLOOKUP(tblSOW7[[#This Row],[Employee name ]],[29]Parameters!CP:DH,19,0))),VLOOKUP(tblSOW7[[#This Row],[Employee name ]],[29]Parameters!CP:DH,19,0),IFERROR(VLOOKUP(tblSOW7[[#This Row],[Employee name ]],[29]Parameters!CP:DH,19,0),0))</f>
        <v>0</v>
      </c>
      <c r="BW33" s="74">
        <f>IFERROR(VLOOKUP(K33,[29]Parameters!BN:BW,10,0),0)</f>
        <v>827.44320670591105</v>
      </c>
    </row>
    <row r="34" spans="1:75" s="75" customFormat="1">
      <c r="A34" s="67" t="str">
        <f>CONCATENATE(INDEX([29]Parameters!$U$1:$V$20,MATCH(C34,[29]Parameters!$V$1:$V$20,0),1),"/",VLOOKUP(D34,[29]Parameters!$CG$1:$CH$12,2,0),".",E34,".",H34,".",LEFT(J34,3),"-",LEFT(K34,4))</f>
        <v>B70/20.P999.427.950-T109</v>
      </c>
      <c r="B34" s="67" t="s">
        <v>123</v>
      </c>
      <c r="C34" s="67" t="s">
        <v>123</v>
      </c>
      <c r="D34" s="39" t="s">
        <v>95</v>
      </c>
      <c r="E34" s="40" t="str">
        <f>VLOOKUP(F34,[29]Parameters!P:T,4,0)</f>
        <v>P999</v>
      </c>
      <c r="F34" s="39" t="s">
        <v>92</v>
      </c>
      <c r="G34" s="67"/>
      <c r="H34" s="67">
        <f>INDEX([29]Parameters!$B:$C,MATCH(I34,[29]Parameters!$C:$C,0),1)</f>
        <v>427</v>
      </c>
      <c r="I34" s="68" t="s">
        <v>104</v>
      </c>
      <c r="J34" s="68" t="s">
        <v>94</v>
      </c>
      <c r="K34" s="68" t="s">
        <v>105</v>
      </c>
      <c r="L34" s="68" t="str">
        <f>IFERROR(VLOOKUP(tblSOW7[[#This Row],[Employee name ]],[29]Parameters!CP:CS,4,0),"")</f>
        <v/>
      </c>
      <c r="M34" s="69"/>
      <c r="N34" s="67" t="s">
        <v>150</v>
      </c>
      <c r="O34" s="76"/>
      <c r="P34" s="72">
        <v>45110</v>
      </c>
      <c r="Q34" s="72">
        <v>45291</v>
      </c>
      <c r="R34" s="67"/>
      <c r="S34" s="67">
        <f t="shared" si="11"/>
        <v>6</v>
      </c>
      <c r="T34" s="68"/>
      <c r="U34" s="68">
        <v>10</v>
      </c>
      <c r="V34" s="68"/>
      <c r="W34" s="68"/>
      <c r="X34" s="67">
        <f>SUM(tblSOW7[[#This Row],[Jan 2023 USD]:[Dec 2023 USD]])</f>
        <v>8274.4320670591114</v>
      </c>
      <c r="Y34" s="74">
        <f>tblSOW7[[#This Row],[FTE Cost]]*tblSOW7[[#This Row],[% work on project]]*AK34/tblSOW7[[#This Row],[Duration]]+tblSOW7[[#This Row],[Task Cost]]*AW34+tblSOW7[[#This Row],[External Expenses/Revenues USD]]*BI34/tblSOW7[[#This Row],[Duration]]</f>
        <v>0</v>
      </c>
      <c r="Z34" s="74">
        <f>tblSOW7[[#This Row],[FTE Cost]]*tblSOW7[[#This Row],[% work on project]]*AL34/tblSOW7[[#This Row],[Duration]]+tblSOW7[[#This Row],[Task Cost]]*AX34+tblSOW7[[#This Row],[External Expenses/Revenues USD]]*BJ34/tblSOW7[[#This Row],[Duration]]</f>
        <v>0</v>
      </c>
      <c r="AA34" s="74">
        <f>tblSOW7[[#This Row],[FTE Cost]]*tblSOW7[[#This Row],[% work on project]]*AM34/tblSOW7[[#This Row],[Duration]]+tblSOW7[[#This Row],[Task Cost]]*AY34+tblSOW7[[#This Row],[External Expenses/Revenues USD]]*BK34/tblSOW7[[#This Row],[Duration]]</f>
        <v>0</v>
      </c>
      <c r="AB34" s="74">
        <f>tblSOW7[[#This Row],[FTE Cost]]*tblSOW7[[#This Row],[% work on project]]*AN34/tblSOW7[[#This Row],[Duration]]+tblSOW7[[#This Row],[Task Cost]]*AZ34+tblSOW7[[#This Row],[External Expenses/Revenues USD]]*BL34/tblSOW7[[#This Row],[Duration]]</f>
        <v>0</v>
      </c>
      <c r="AC34" s="74">
        <f>tblSOW7[[#This Row],[FTE Cost]]*tblSOW7[[#This Row],[% work on project]]*AO34/tblSOW7[[#This Row],[Duration]]+tblSOW7[[#This Row],[Task Cost]]*BA34+tblSOW7[[#This Row],[External Expenses/Revenues USD]]*BM34/tblSOW7[[#This Row],[Duration]]</f>
        <v>0</v>
      </c>
      <c r="AD34" s="74">
        <f>tblSOW7[[#This Row],[FTE Cost]]*tblSOW7[[#This Row],[% work on project]]*AP34/tblSOW7[[#This Row],[Duration]]+tblSOW7[[#This Row],[Task Cost]]*BB34+tblSOW7[[#This Row],[External Expenses/Revenues USD]]*BN34/tblSOW7[[#This Row],[Duration]]</f>
        <v>0</v>
      </c>
      <c r="AE34" s="74">
        <f>tblSOW7[[#This Row],[FTE Cost]]*tblSOW7[[#This Row],[% work on project]]*AQ34/tblSOW7[[#This Row],[Duration]]+tblSOW7[[#This Row],[Task Cost]]*BC34+tblSOW7[[#This Row],[External Expenses/Revenues USD]]*BO34/tblSOW7[[#This Row],[Duration]]</f>
        <v>1379.0720111765186</v>
      </c>
      <c r="AF34" s="74">
        <f>tblSOW7[[#This Row],[FTE Cost]]*tblSOW7[[#This Row],[% work on project]]*AR34/tblSOW7[[#This Row],[Duration]]+tblSOW7[[#This Row],[Task Cost]]*BD34+tblSOW7[[#This Row],[External Expenses/Revenues USD]]*BP34/tblSOW7[[#This Row],[Duration]]</f>
        <v>1379.0720111765186</v>
      </c>
      <c r="AG34" s="74">
        <f>tblSOW7[[#This Row],[FTE Cost]]*tblSOW7[[#This Row],[% work on project]]*AS34/tblSOW7[[#This Row],[Duration]]+tblSOW7[[#This Row],[Task Cost]]*BE34+tblSOW7[[#This Row],[External Expenses/Revenues USD]]*BQ34/tblSOW7[[#This Row],[Duration]]</f>
        <v>1379.0720111765186</v>
      </c>
      <c r="AH34" s="74">
        <f>tblSOW7[[#This Row],[FTE Cost]]*tblSOW7[[#This Row],[% work on project]]*AT34/tblSOW7[[#This Row],[Duration]]+tblSOW7[[#This Row],[Task Cost]]*BF34+tblSOW7[[#This Row],[External Expenses/Revenues USD]]*BR34/tblSOW7[[#This Row],[Duration]]</f>
        <v>1379.0720111765186</v>
      </c>
      <c r="AI34" s="74">
        <f>tblSOW7[[#This Row],[FTE Cost]]*tblSOW7[[#This Row],[% work on project]]*AU34/tblSOW7[[#This Row],[Duration]]+tblSOW7[[#This Row],[Task Cost]]*BG34+tblSOW7[[#This Row],[External Expenses/Revenues USD]]*BS34/tblSOW7[[#This Row],[Duration]]</f>
        <v>1379.0720111765186</v>
      </c>
      <c r="AJ34" s="74">
        <f>tblSOW7[[#This Row],[FTE Cost]]*tblSOW7[[#This Row],[% work on project]]*AV34/tblSOW7[[#This Row],[Duration]]+tblSOW7[[#This Row],[Task Cost]]*BH34+tblSOW7[[#This Row],[External Expenses/Revenues USD]]*BT34/tblSOW7[[#This Row],[Duration]]</f>
        <v>1379.0720111765186</v>
      </c>
      <c r="AK34" s="74">
        <f t="shared" si="7"/>
        <v>0</v>
      </c>
      <c r="AL34" s="74">
        <f t="shared" si="7"/>
        <v>0</v>
      </c>
      <c r="AM34" s="74">
        <f t="shared" si="7"/>
        <v>0</v>
      </c>
      <c r="AN34" s="74">
        <f t="shared" si="7"/>
        <v>0</v>
      </c>
      <c r="AO34" s="74">
        <f t="shared" si="7"/>
        <v>0</v>
      </c>
      <c r="AP34" s="74">
        <f t="shared" si="7"/>
        <v>0</v>
      </c>
      <c r="AQ34" s="74">
        <f t="shared" si="7"/>
        <v>1</v>
      </c>
      <c r="AR34" s="74">
        <f t="shared" si="7"/>
        <v>1</v>
      </c>
      <c r="AS34" s="74">
        <f t="shared" si="7"/>
        <v>1</v>
      </c>
      <c r="AT34" s="74">
        <f t="shared" si="7"/>
        <v>1</v>
      </c>
      <c r="AU34" s="74">
        <f t="shared" si="7"/>
        <v>1</v>
      </c>
      <c r="AV34" s="74">
        <f t="shared" si="7"/>
        <v>1</v>
      </c>
      <c r="AW34" s="74">
        <f t="shared" si="8"/>
        <v>0</v>
      </c>
      <c r="AX34" s="74">
        <f t="shared" si="8"/>
        <v>0</v>
      </c>
      <c r="AY34" s="74">
        <f t="shared" si="8"/>
        <v>0</v>
      </c>
      <c r="AZ34" s="74">
        <f t="shared" si="8"/>
        <v>0</v>
      </c>
      <c r="BA34" s="74">
        <f t="shared" si="8"/>
        <v>0</v>
      </c>
      <c r="BB34" s="74">
        <f t="shared" si="8"/>
        <v>0</v>
      </c>
      <c r="BC34" s="74">
        <f t="shared" si="8"/>
        <v>1.6666666666666667</v>
      </c>
      <c r="BD34" s="74">
        <f t="shared" si="8"/>
        <v>1.6666666666666667</v>
      </c>
      <c r="BE34" s="74">
        <f t="shared" si="8"/>
        <v>1.6666666666666667</v>
      </c>
      <c r="BF34" s="74">
        <f t="shared" si="8"/>
        <v>1.6666666666666667</v>
      </c>
      <c r="BG34" s="74">
        <f t="shared" si="8"/>
        <v>1.6666666666666667</v>
      </c>
      <c r="BH34" s="74">
        <f t="shared" si="8"/>
        <v>1.6666666666666667</v>
      </c>
      <c r="BI34" s="74">
        <f t="shared" si="10"/>
        <v>0</v>
      </c>
      <c r="BJ34" s="74">
        <f t="shared" si="10"/>
        <v>0</v>
      </c>
      <c r="BK34" s="74">
        <f t="shared" si="10"/>
        <v>0</v>
      </c>
      <c r="BL34" s="74">
        <f t="shared" si="10"/>
        <v>0</v>
      </c>
      <c r="BM34" s="74">
        <f t="shared" si="10"/>
        <v>0</v>
      </c>
      <c r="BN34" s="74">
        <f t="shared" si="10"/>
        <v>0</v>
      </c>
      <c r="BO34" s="74">
        <f t="shared" si="10"/>
        <v>1</v>
      </c>
      <c r="BP34" s="74">
        <f t="shared" si="10"/>
        <v>1</v>
      </c>
      <c r="BQ34" s="74">
        <f t="shared" si="10"/>
        <v>1</v>
      </c>
      <c r="BR34" s="74">
        <f t="shared" si="10"/>
        <v>1</v>
      </c>
      <c r="BS34" s="74">
        <f t="shared" si="10"/>
        <v>1</v>
      </c>
      <c r="BT34" s="74">
        <f t="shared" si="10"/>
        <v>1</v>
      </c>
      <c r="BU34" s="74">
        <f>SUM(tblSOW7[[#This Row],[P1]:[P12]])</f>
        <v>6</v>
      </c>
      <c r="BV34" s="74">
        <f xml:space="preserve"> IF(AND(ISNUMBER(SEARCH("-E000",tblSOW7[[#This Row],[Budget Item]])), ISERROR(VLOOKUP(tblSOW7[[#This Row],[Employee name ]],[29]Parameters!CP:DH,19,0))),VLOOKUP(tblSOW7[[#This Row],[Employee name ]],[29]Parameters!CP:DH,19,0),IFERROR(VLOOKUP(tblSOW7[[#This Row],[Employee name ]],[29]Parameters!CP:DH,19,0),0))</f>
        <v>0</v>
      </c>
      <c r="BW34" s="74">
        <f>IFERROR(VLOOKUP(K34,[29]Parameters!BN:BW,10,0),0)</f>
        <v>827.44320670591105</v>
      </c>
    </row>
    <row r="35" spans="1:75" s="75" customFormat="1">
      <c r="A35" s="67" t="str">
        <f>CONCATENATE(INDEX([29]Parameters!$U$1:$V$20,MATCH(C35,[29]Parameters!$V$1:$V$20,0),1),"/",VLOOKUP(D35,[29]Parameters!$CG$1:$CH$12,2,0),".",E35,".",H35,".",LEFT(J35,3),"-",LEFT(K35,4))</f>
        <v>B70/20.P250.427.950-T109</v>
      </c>
      <c r="B35" s="67" t="s">
        <v>123</v>
      </c>
      <c r="C35" s="67" t="s">
        <v>123</v>
      </c>
      <c r="D35" s="39" t="s">
        <v>95</v>
      </c>
      <c r="E35" s="40" t="str">
        <f>VLOOKUP(F35,[29]Parameters!P:T,4,0)</f>
        <v>P250</v>
      </c>
      <c r="F35" s="39" t="s">
        <v>127</v>
      </c>
      <c r="G35" s="67"/>
      <c r="H35" s="67">
        <f>INDEX([29]Parameters!$B:$C,MATCH(I35,[29]Parameters!$C:$C,0),1)</f>
        <v>427</v>
      </c>
      <c r="I35" s="68" t="s">
        <v>104</v>
      </c>
      <c r="J35" s="68" t="s">
        <v>94</v>
      </c>
      <c r="K35" s="68" t="s">
        <v>105</v>
      </c>
      <c r="L35" s="68" t="str">
        <f>IFERROR(VLOOKUP(tblSOW7[[#This Row],[Employee name ]],[29]Parameters!CP:CS,4,0),"")</f>
        <v/>
      </c>
      <c r="M35" s="69"/>
      <c r="N35" s="67" t="s">
        <v>147</v>
      </c>
      <c r="O35" s="76"/>
      <c r="P35" s="72">
        <v>44927</v>
      </c>
      <c r="Q35" s="72">
        <v>45291</v>
      </c>
      <c r="R35" s="67"/>
      <c r="S35" s="67">
        <f t="shared" si="11"/>
        <v>12</v>
      </c>
      <c r="T35" s="68"/>
      <c r="U35" s="68">
        <v>88</v>
      </c>
      <c r="V35" s="68"/>
      <c r="W35" s="68"/>
      <c r="X35" s="67">
        <f>SUM(tblSOW7[[#This Row],[Jan 2023 USD]:[Dec 2023 USD]])</f>
        <v>72815.002190120169</v>
      </c>
      <c r="Y35" s="74">
        <f>tblSOW7[[#This Row],[FTE Cost]]*tblSOW7[[#This Row],[% work on project]]*AK35/tblSOW7[[#This Row],[Duration]]+tblSOW7[[#This Row],[Task Cost]]*AW35+tblSOW7[[#This Row],[External Expenses/Revenues USD]]*BI35/tblSOW7[[#This Row],[Duration]]</f>
        <v>6067.9168491766804</v>
      </c>
      <c r="Z35" s="74">
        <f>tblSOW7[[#This Row],[FTE Cost]]*tblSOW7[[#This Row],[% work on project]]*AL35/tblSOW7[[#This Row],[Duration]]+tblSOW7[[#This Row],[Task Cost]]*AX35+tblSOW7[[#This Row],[External Expenses/Revenues USD]]*BJ35/tblSOW7[[#This Row],[Duration]]</f>
        <v>6067.9168491766804</v>
      </c>
      <c r="AA35" s="74">
        <f>tblSOW7[[#This Row],[FTE Cost]]*tblSOW7[[#This Row],[% work on project]]*AM35/tblSOW7[[#This Row],[Duration]]+tblSOW7[[#This Row],[Task Cost]]*AY35+tblSOW7[[#This Row],[External Expenses/Revenues USD]]*BK35/tblSOW7[[#This Row],[Duration]]</f>
        <v>6067.9168491766804</v>
      </c>
      <c r="AB35" s="74">
        <f>tblSOW7[[#This Row],[FTE Cost]]*tblSOW7[[#This Row],[% work on project]]*AN35/tblSOW7[[#This Row],[Duration]]+tblSOW7[[#This Row],[Task Cost]]*AZ35+tblSOW7[[#This Row],[External Expenses/Revenues USD]]*BL35/tblSOW7[[#This Row],[Duration]]</f>
        <v>6067.9168491766804</v>
      </c>
      <c r="AC35" s="74">
        <f>tblSOW7[[#This Row],[FTE Cost]]*tblSOW7[[#This Row],[% work on project]]*AO35/tblSOW7[[#This Row],[Duration]]+tblSOW7[[#This Row],[Task Cost]]*BA35+tblSOW7[[#This Row],[External Expenses/Revenues USD]]*BM35/tblSOW7[[#This Row],[Duration]]</f>
        <v>6067.9168491766804</v>
      </c>
      <c r="AD35" s="74">
        <f>tblSOW7[[#This Row],[FTE Cost]]*tblSOW7[[#This Row],[% work on project]]*AP35/tblSOW7[[#This Row],[Duration]]+tblSOW7[[#This Row],[Task Cost]]*BB35+tblSOW7[[#This Row],[External Expenses/Revenues USD]]*BN35/tblSOW7[[#This Row],[Duration]]</f>
        <v>6067.9168491766804</v>
      </c>
      <c r="AE35" s="74">
        <f>tblSOW7[[#This Row],[FTE Cost]]*tblSOW7[[#This Row],[% work on project]]*AQ35/tblSOW7[[#This Row],[Duration]]+tblSOW7[[#This Row],[Task Cost]]*BC35+tblSOW7[[#This Row],[External Expenses/Revenues USD]]*BO35/tblSOW7[[#This Row],[Duration]]</f>
        <v>6067.9168491766804</v>
      </c>
      <c r="AF35" s="74">
        <f>tblSOW7[[#This Row],[FTE Cost]]*tblSOW7[[#This Row],[% work on project]]*AR35/tblSOW7[[#This Row],[Duration]]+tblSOW7[[#This Row],[Task Cost]]*BD35+tblSOW7[[#This Row],[External Expenses/Revenues USD]]*BP35/tblSOW7[[#This Row],[Duration]]</f>
        <v>6067.9168491766804</v>
      </c>
      <c r="AG35" s="74">
        <f>tblSOW7[[#This Row],[FTE Cost]]*tblSOW7[[#This Row],[% work on project]]*AS35/tblSOW7[[#This Row],[Duration]]+tblSOW7[[#This Row],[Task Cost]]*BE35+tblSOW7[[#This Row],[External Expenses/Revenues USD]]*BQ35/tblSOW7[[#This Row],[Duration]]</f>
        <v>6067.9168491766804</v>
      </c>
      <c r="AH35" s="74">
        <f>tblSOW7[[#This Row],[FTE Cost]]*tblSOW7[[#This Row],[% work on project]]*AT35/tblSOW7[[#This Row],[Duration]]+tblSOW7[[#This Row],[Task Cost]]*BF35+tblSOW7[[#This Row],[External Expenses/Revenues USD]]*BR35/tblSOW7[[#This Row],[Duration]]</f>
        <v>6067.9168491766804</v>
      </c>
      <c r="AI35" s="74">
        <f>tblSOW7[[#This Row],[FTE Cost]]*tblSOW7[[#This Row],[% work on project]]*AU35/tblSOW7[[#This Row],[Duration]]+tblSOW7[[#This Row],[Task Cost]]*BG35+tblSOW7[[#This Row],[External Expenses/Revenues USD]]*BS35/tblSOW7[[#This Row],[Duration]]</f>
        <v>6067.9168491766804</v>
      </c>
      <c r="AJ35" s="74">
        <f>tblSOW7[[#This Row],[FTE Cost]]*tblSOW7[[#This Row],[% work on project]]*AV35/tblSOW7[[#This Row],[Duration]]+tblSOW7[[#This Row],[Task Cost]]*BH35+tblSOW7[[#This Row],[External Expenses/Revenues USD]]*BT35/tblSOW7[[#This Row],[Duration]]</f>
        <v>6067.9168491766804</v>
      </c>
      <c r="AK35" s="74">
        <f t="shared" si="7"/>
        <v>1</v>
      </c>
      <c r="AL35" s="74">
        <f t="shared" si="7"/>
        <v>1</v>
      </c>
      <c r="AM35" s="74">
        <f t="shared" si="7"/>
        <v>1</v>
      </c>
      <c r="AN35" s="74">
        <f t="shared" si="7"/>
        <v>1</v>
      </c>
      <c r="AO35" s="74">
        <f t="shared" si="7"/>
        <v>1</v>
      </c>
      <c r="AP35" s="74">
        <f t="shared" si="7"/>
        <v>1</v>
      </c>
      <c r="AQ35" s="74">
        <f t="shared" si="7"/>
        <v>1</v>
      </c>
      <c r="AR35" s="74">
        <f t="shared" si="7"/>
        <v>1</v>
      </c>
      <c r="AS35" s="74">
        <f t="shared" si="7"/>
        <v>1</v>
      </c>
      <c r="AT35" s="74">
        <f t="shared" si="7"/>
        <v>1</v>
      </c>
      <c r="AU35" s="74">
        <f t="shared" si="7"/>
        <v>1</v>
      </c>
      <c r="AV35" s="74">
        <f t="shared" si="7"/>
        <v>1</v>
      </c>
      <c r="AW35" s="74">
        <f t="shared" si="8"/>
        <v>7.333333333333333</v>
      </c>
      <c r="AX35" s="74">
        <f t="shared" si="8"/>
        <v>7.333333333333333</v>
      </c>
      <c r="AY35" s="74">
        <f t="shared" si="8"/>
        <v>7.333333333333333</v>
      </c>
      <c r="AZ35" s="74">
        <f t="shared" si="8"/>
        <v>7.333333333333333</v>
      </c>
      <c r="BA35" s="74">
        <f t="shared" si="8"/>
        <v>7.333333333333333</v>
      </c>
      <c r="BB35" s="74">
        <f t="shared" si="8"/>
        <v>7.333333333333333</v>
      </c>
      <c r="BC35" s="74">
        <f t="shared" si="8"/>
        <v>7.333333333333333</v>
      </c>
      <c r="BD35" s="74">
        <f t="shared" si="8"/>
        <v>7.333333333333333</v>
      </c>
      <c r="BE35" s="74">
        <f t="shared" si="8"/>
        <v>7.333333333333333</v>
      </c>
      <c r="BF35" s="74">
        <f t="shared" si="8"/>
        <v>7.333333333333333</v>
      </c>
      <c r="BG35" s="74">
        <f t="shared" si="8"/>
        <v>7.333333333333333</v>
      </c>
      <c r="BH35" s="74">
        <f t="shared" si="8"/>
        <v>7.333333333333333</v>
      </c>
      <c r="BI35" s="74">
        <f t="shared" si="10"/>
        <v>1</v>
      </c>
      <c r="BJ35" s="74">
        <f t="shared" si="10"/>
        <v>1</v>
      </c>
      <c r="BK35" s="74">
        <f t="shared" si="10"/>
        <v>1</v>
      </c>
      <c r="BL35" s="74">
        <f t="shared" si="10"/>
        <v>1</v>
      </c>
      <c r="BM35" s="74">
        <f t="shared" si="10"/>
        <v>1</v>
      </c>
      <c r="BN35" s="74">
        <f t="shared" si="10"/>
        <v>1</v>
      </c>
      <c r="BO35" s="74">
        <f t="shared" si="10"/>
        <v>1</v>
      </c>
      <c r="BP35" s="74">
        <f t="shared" si="10"/>
        <v>1</v>
      </c>
      <c r="BQ35" s="74">
        <f t="shared" si="10"/>
        <v>1</v>
      </c>
      <c r="BR35" s="74">
        <f t="shared" si="10"/>
        <v>1</v>
      </c>
      <c r="BS35" s="74">
        <f t="shared" si="10"/>
        <v>1</v>
      </c>
      <c r="BT35" s="74">
        <f t="shared" si="10"/>
        <v>1</v>
      </c>
      <c r="BU35" s="74">
        <f>SUM(tblSOW7[[#This Row],[P1]:[P12]])</f>
        <v>12</v>
      </c>
      <c r="BV35" s="74">
        <f xml:space="preserve"> IF(AND(ISNUMBER(SEARCH("-E000",tblSOW7[[#This Row],[Budget Item]])), ISERROR(VLOOKUP(tblSOW7[[#This Row],[Employee name ]],[29]Parameters!CP:DH,19,0))),VLOOKUP(tblSOW7[[#This Row],[Employee name ]],[29]Parameters!CP:DH,19,0),IFERROR(VLOOKUP(tblSOW7[[#This Row],[Employee name ]],[29]Parameters!CP:DH,19,0),0))</f>
        <v>0</v>
      </c>
      <c r="BW35" s="74">
        <f>IFERROR(VLOOKUP(K35,[29]Parameters!BN:BW,10,0),0)</f>
        <v>827.44320670591105</v>
      </c>
    </row>
    <row r="36" spans="1:75" s="36" customFormat="1" ht="16.5" customHeight="1">
      <c r="A36" s="5"/>
      <c r="B36" s="5"/>
      <c r="C36" s="5"/>
      <c r="D36" s="39"/>
      <c r="E36" s="40"/>
      <c r="F36" s="39"/>
      <c r="G36" s="4"/>
      <c r="H36" s="5"/>
      <c r="I36" s="3"/>
      <c r="J36" s="3"/>
      <c r="K36" s="3"/>
      <c r="L36" s="3" t="str">
        <f>IFERROR(VLOOKUP(tblSOW7[[#This Row],[Employee name ]],[29]Parameters!CP:CS,4,0),"")</f>
        <v/>
      </c>
      <c r="M36" s="45"/>
      <c r="N36" s="5"/>
      <c r="O36" s="3"/>
      <c r="P36" s="8"/>
      <c r="Q36" s="8"/>
      <c r="R36" s="5"/>
      <c r="S36" s="5"/>
      <c r="T36" s="3"/>
      <c r="U36" s="3"/>
      <c r="V36" s="5"/>
      <c r="W36" s="5"/>
      <c r="X36" s="5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</row>
    <row r="37" spans="1:75" s="36" customFormat="1" ht="16.5" customHeight="1">
      <c r="A37" s="5"/>
      <c r="B37" s="5"/>
      <c r="C37" s="5"/>
      <c r="D37" s="39"/>
      <c r="E37" s="40"/>
      <c r="F37" s="39"/>
      <c r="G37" s="4"/>
      <c r="H37" s="5"/>
      <c r="I37" s="3"/>
      <c r="J37" s="3"/>
      <c r="K37" s="3"/>
      <c r="L37" s="3" t="str">
        <f>IFERROR(VLOOKUP(tblSOW7[[#This Row],[Employee name ]],[29]Parameters!CP:CS,4,0),"")</f>
        <v/>
      </c>
      <c r="M37" s="45"/>
      <c r="N37" s="5"/>
      <c r="O37" s="3"/>
      <c r="P37" s="8"/>
      <c r="Q37" s="8"/>
      <c r="R37" s="5"/>
      <c r="S37" s="5"/>
      <c r="T37" s="3"/>
      <c r="U37" s="3"/>
      <c r="V37" s="5"/>
      <c r="W37" s="5"/>
      <c r="X37" s="5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</row>
    <row r="38" spans="1:75" s="36" customFormat="1" ht="16.5" customHeight="1">
      <c r="A38" s="5"/>
      <c r="B38" s="5"/>
      <c r="C38" s="5"/>
      <c r="D38" s="39"/>
      <c r="E38" s="40"/>
      <c r="F38" s="39"/>
      <c r="G38" s="4"/>
      <c r="H38" s="5"/>
      <c r="I38" s="3"/>
      <c r="J38" s="3"/>
      <c r="K38" s="3"/>
      <c r="L38" s="3" t="str">
        <f>IFERROR(VLOOKUP(tblSOW7[[#This Row],[Employee name ]],[29]Parameters!CP:CS,4,0),"")</f>
        <v/>
      </c>
      <c r="M38" s="45"/>
      <c r="N38" s="5"/>
      <c r="O38" s="3"/>
      <c r="P38" s="8"/>
      <c r="Q38" s="8"/>
      <c r="R38" s="5"/>
      <c r="S38" s="5"/>
      <c r="T38" s="3"/>
      <c r="U38" s="3"/>
      <c r="V38" s="5"/>
      <c r="W38" s="5"/>
      <c r="X38" s="5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</row>
    <row r="39" spans="1:75" s="36" customFormat="1" ht="16.5" customHeight="1">
      <c r="A39" s="5"/>
      <c r="B39" s="5"/>
      <c r="C39" s="5"/>
      <c r="D39" s="39"/>
      <c r="E39" s="40"/>
      <c r="F39" s="39"/>
      <c r="G39" s="4"/>
      <c r="H39" s="5"/>
      <c r="I39" s="3"/>
      <c r="J39" s="3"/>
      <c r="K39" s="3"/>
      <c r="L39" s="3" t="str">
        <f>IFERROR(VLOOKUP(tblSOW7[[#This Row],[Employee name ]],[29]Parameters!CP:CS,4,0),"")</f>
        <v/>
      </c>
      <c r="M39" s="45"/>
      <c r="N39" s="5"/>
      <c r="O39" s="3"/>
      <c r="P39" s="8"/>
      <c r="Q39" s="8"/>
      <c r="R39" s="5"/>
      <c r="S39" s="5"/>
      <c r="T39" s="3"/>
      <c r="U39" s="3"/>
      <c r="V39" s="5"/>
      <c r="W39" s="5"/>
      <c r="X39" s="5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</row>
    <row r="40" spans="1:75" s="36" customFormat="1" ht="16.5" customHeight="1">
      <c r="A40" s="5"/>
      <c r="B40" s="5"/>
      <c r="C40" s="5"/>
      <c r="D40" s="39"/>
      <c r="E40" s="40"/>
      <c r="F40" s="39"/>
      <c r="G40" s="4"/>
      <c r="H40" s="5"/>
      <c r="I40" s="3"/>
      <c r="J40" s="3"/>
      <c r="K40" s="3"/>
      <c r="L40" s="3" t="str">
        <f>IFERROR(VLOOKUP(tblSOW7[[#This Row],[Employee name ]],[29]Parameters!CP:CS,4,0),"")</f>
        <v/>
      </c>
      <c r="M40" s="45"/>
      <c r="N40" s="5"/>
      <c r="O40" s="3"/>
      <c r="P40" s="8"/>
      <c r="Q40" s="8"/>
      <c r="R40" s="5"/>
      <c r="S40" s="5"/>
      <c r="T40" s="3"/>
      <c r="U40" s="3"/>
      <c r="V40" s="5"/>
      <c r="W40" s="5"/>
      <c r="X40" s="5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</row>
    <row r="41" spans="1:75" s="36" customFormat="1" ht="16.5" customHeight="1">
      <c r="A41" s="5"/>
      <c r="B41" s="5"/>
      <c r="C41" s="5"/>
      <c r="D41" s="39"/>
      <c r="E41" s="40"/>
      <c r="F41" s="39"/>
      <c r="G41" s="4"/>
      <c r="H41" s="5"/>
      <c r="I41" s="3"/>
      <c r="J41" s="3"/>
      <c r="K41" s="3"/>
      <c r="L41" s="3" t="str">
        <f>IFERROR(VLOOKUP(tblSOW7[[#This Row],[Employee name ]],[29]Parameters!CP:CS,4,0),"")</f>
        <v/>
      </c>
      <c r="M41" s="45"/>
      <c r="N41" s="5"/>
      <c r="O41" s="3"/>
      <c r="P41" s="8"/>
      <c r="Q41" s="8"/>
      <c r="R41" s="5"/>
      <c r="S41" s="5"/>
      <c r="T41" s="3"/>
      <c r="U41" s="3"/>
      <c r="V41" s="5"/>
      <c r="W41" s="5"/>
      <c r="X41" s="5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</row>
    <row r="42" spans="1:75" s="36" customFormat="1" ht="16.5" customHeight="1">
      <c r="A42" s="5"/>
      <c r="B42" s="5"/>
      <c r="C42" s="5"/>
      <c r="D42" s="39"/>
      <c r="E42" s="40"/>
      <c r="F42" s="39"/>
      <c r="G42" s="4"/>
      <c r="H42" s="5"/>
      <c r="I42" s="3"/>
      <c r="J42" s="3"/>
      <c r="K42" s="3"/>
      <c r="L42" s="3" t="str">
        <f>IFERROR(VLOOKUP(tblSOW7[[#This Row],[Employee name ]],[29]Parameters!CP:CS,4,0),"")</f>
        <v/>
      </c>
      <c r="M42" s="45"/>
      <c r="N42" s="5"/>
      <c r="O42" s="3"/>
      <c r="P42" s="8"/>
      <c r="Q42" s="8"/>
      <c r="R42" s="5"/>
      <c r="S42" s="5"/>
      <c r="T42" s="3"/>
      <c r="U42" s="3"/>
      <c r="V42" s="5"/>
      <c r="W42" s="5"/>
      <c r="X42" s="5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</row>
    <row r="43" spans="1:75" s="36" customFormat="1" ht="16.5" customHeight="1">
      <c r="A43" s="5"/>
      <c r="B43" s="5"/>
      <c r="C43" s="5"/>
      <c r="D43" s="39"/>
      <c r="E43" s="40"/>
      <c r="F43" s="39"/>
      <c r="G43" s="4"/>
      <c r="H43" s="5"/>
      <c r="I43" s="3"/>
      <c r="J43" s="3"/>
      <c r="K43" s="3"/>
      <c r="L43" s="3" t="str">
        <f>IFERROR(VLOOKUP(tblSOW7[[#This Row],[Employee name ]],[29]Parameters!CP:CS,4,0),"")</f>
        <v/>
      </c>
      <c r="M43" s="45"/>
      <c r="N43" s="5"/>
      <c r="O43" s="3"/>
      <c r="P43" s="8"/>
      <c r="Q43" s="8"/>
      <c r="R43" s="5"/>
      <c r="S43" s="5"/>
      <c r="T43" s="3"/>
      <c r="U43" s="3"/>
      <c r="V43" s="5"/>
      <c r="W43" s="5"/>
      <c r="X43" s="5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>
        <f xml:space="preserve"> IF(AND(ISNUMBER(SEARCH("-E000",tblSOW7[[#This Row],[Budget Item]])), ISERROR(VLOOKUP(tblSOW7[[#This Row],[Employee name ]],[29]Parameters!CP:DH,19,0))),VLOOKUP(tblSOW7[[#This Row],[Employee name ]],[29]Parameters!CP:DH,19,0),IFERROR(VLOOKUP(tblSOW7[[#This Row],[Employee name ]],[29]Parameters!CP:DH,19,0),0))</f>
        <v>0</v>
      </c>
      <c r="BW43" s="43"/>
    </row>
    <row r="44" spans="1:75" s="36" customFormat="1" ht="16.5" customHeight="1">
      <c r="A44" s="5"/>
      <c r="B44" s="5"/>
      <c r="C44" s="5"/>
      <c r="D44" s="39"/>
      <c r="E44" s="40"/>
      <c r="F44" s="39"/>
      <c r="G44" s="4"/>
      <c r="H44" s="5"/>
      <c r="I44" s="3"/>
      <c r="J44" s="3"/>
      <c r="K44" s="3"/>
      <c r="L44" s="3" t="str">
        <f>IFERROR(VLOOKUP(tblSOW7[[#This Row],[Employee name ]],[29]Parameters!CP:CS,4,0),"")</f>
        <v/>
      </c>
      <c r="M44" s="45"/>
      <c r="N44" s="5"/>
      <c r="O44" s="3"/>
      <c r="P44" s="8"/>
      <c r="Q44" s="8"/>
      <c r="R44" s="5"/>
      <c r="S44" s="5"/>
      <c r="T44" s="3"/>
      <c r="U44" s="3"/>
      <c r="V44" s="5"/>
      <c r="W44" s="5"/>
      <c r="X44" s="5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>
        <f xml:space="preserve"> IF(AND(ISNUMBER(SEARCH("-E000",tblSOW7[[#This Row],[Budget Item]])), ISERROR(VLOOKUP(tblSOW7[[#This Row],[Employee name ]],[29]Parameters!CP:DH,19,0))),VLOOKUP(tblSOW7[[#This Row],[Employee name ]],[29]Parameters!CP:DH,19,0),IFERROR(VLOOKUP(tblSOW7[[#This Row],[Employee name ]],[29]Parameters!CP:DH,19,0),0))</f>
        <v>0</v>
      </c>
      <c r="BW44" s="43"/>
    </row>
    <row r="45" spans="1:75" s="36" customFormat="1" ht="16.5" customHeight="1">
      <c r="A45" s="5"/>
      <c r="B45" s="5"/>
      <c r="C45" s="5"/>
      <c r="D45" s="39"/>
      <c r="E45" s="40"/>
      <c r="F45" s="39"/>
      <c r="G45" s="4"/>
      <c r="H45" s="5"/>
      <c r="I45" s="3"/>
      <c r="J45" s="3"/>
      <c r="K45" s="3"/>
      <c r="L45" s="3" t="str">
        <f>IFERROR(VLOOKUP(tblSOW7[[#This Row],[Employee name ]],[29]Parameters!CP:CS,4,0),"")</f>
        <v/>
      </c>
      <c r="M45" s="45"/>
      <c r="N45" s="5"/>
      <c r="O45" s="3"/>
      <c r="P45" s="8"/>
      <c r="Q45" s="8"/>
      <c r="R45" s="5"/>
      <c r="S45" s="5"/>
      <c r="T45" s="3"/>
      <c r="U45" s="3"/>
      <c r="V45" s="5"/>
      <c r="W45" s="5"/>
      <c r="X45" s="5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>
        <f xml:space="preserve"> IF(AND(ISNUMBER(SEARCH("-E000",tblSOW7[[#This Row],[Budget Item]])), ISERROR(VLOOKUP(tblSOW7[[#This Row],[Employee name ]],[29]Parameters!CP:DH,19,0))),VLOOKUP(tblSOW7[[#This Row],[Employee name ]],[29]Parameters!CP:DH,19,0),IFERROR(VLOOKUP(tblSOW7[[#This Row],[Employee name ]],[29]Parameters!CP:DH,19,0),0))</f>
        <v>0</v>
      </c>
      <c r="BW45" s="43"/>
    </row>
    <row r="46" spans="1:75" s="36" customFormat="1" ht="16.5" customHeight="1">
      <c r="A46" s="5"/>
      <c r="B46" s="5"/>
      <c r="C46" s="5"/>
      <c r="D46" s="39"/>
      <c r="E46" s="40"/>
      <c r="F46" s="39"/>
      <c r="G46" s="4"/>
      <c r="H46" s="5"/>
      <c r="I46" s="3"/>
      <c r="J46" s="3"/>
      <c r="K46" s="3"/>
      <c r="L46" s="3" t="str">
        <f>IFERROR(VLOOKUP(tblSOW7[[#This Row],[Employee name ]],[29]Parameters!CP:CS,4,0),"")</f>
        <v/>
      </c>
      <c r="M46" s="45"/>
      <c r="N46" s="5"/>
      <c r="O46" s="3"/>
      <c r="P46" s="8"/>
      <c r="Q46" s="8"/>
      <c r="R46" s="5"/>
      <c r="S46" s="5"/>
      <c r="T46" s="3"/>
      <c r="U46" s="3"/>
      <c r="V46" s="5"/>
      <c r="W46" s="5"/>
      <c r="X46" s="5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>
        <f xml:space="preserve"> IF(AND(ISNUMBER(SEARCH("-E000",tblSOW7[[#This Row],[Budget Item]])), ISERROR(VLOOKUP(tblSOW7[[#This Row],[Employee name ]],[29]Parameters!CP:DH,19,0))),VLOOKUP(tblSOW7[[#This Row],[Employee name ]],[29]Parameters!CP:DH,19,0),IFERROR(VLOOKUP(tblSOW7[[#This Row],[Employee name ]],[29]Parameters!CP:DH,19,0),0))</f>
        <v>0</v>
      </c>
      <c r="BW46" s="43"/>
    </row>
    <row r="47" spans="1:75" s="36" customFormat="1" ht="16.5" customHeight="1">
      <c r="A47" s="5"/>
      <c r="B47" s="5"/>
      <c r="C47" s="5"/>
      <c r="D47" s="39"/>
      <c r="E47" s="40"/>
      <c r="F47" s="39"/>
      <c r="G47" s="4"/>
      <c r="H47" s="5"/>
      <c r="I47" s="3"/>
      <c r="J47" s="3"/>
      <c r="K47" s="3"/>
      <c r="L47" s="3" t="str">
        <f>IFERROR(VLOOKUP(tblSOW7[[#This Row],[Employee name ]],[29]Parameters!CP:CS,4,0),"")</f>
        <v/>
      </c>
      <c r="M47" s="45"/>
      <c r="N47" s="5"/>
      <c r="O47" s="3"/>
      <c r="P47" s="8"/>
      <c r="Q47" s="8"/>
      <c r="R47" s="5"/>
      <c r="S47" s="5"/>
      <c r="T47" s="3"/>
      <c r="U47" s="3"/>
      <c r="V47" s="5"/>
      <c r="W47" s="5"/>
      <c r="X47" s="5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>
        <f xml:space="preserve"> IF(AND(ISNUMBER(SEARCH("-E000",tblSOW7[[#This Row],[Budget Item]])), ISERROR(VLOOKUP(tblSOW7[[#This Row],[Employee name ]],[29]Parameters!CP:DH,19,0))),VLOOKUP(tblSOW7[[#This Row],[Employee name ]],[29]Parameters!CP:DH,19,0),IFERROR(VLOOKUP(tblSOW7[[#This Row],[Employee name ]],[29]Parameters!CP:DH,19,0),0))</f>
        <v>0</v>
      </c>
      <c r="BW47" s="43"/>
    </row>
    <row r="48" spans="1:75" s="36" customFormat="1" ht="16.5" customHeight="1">
      <c r="A48" s="5"/>
      <c r="B48" s="5"/>
      <c r="C48" s="5"/>
      <c r="D48" s="39"/>
      <c r="E48" s="40"/>
      <c r="F48" s="39"/>
      <c r="G48" s="4"/>
      <c r="H48" s="5"/>
      <c r="I48" s="3"/>
      <c r="J48" s="3"/>
      <c r="K48" s="3"/>
      <c r="L48" s="3" t="str">
        <f>IFERROR(VLOOKUP(tblSOW7[[#This Row],[Employee name ]],[29]Parameters!CP:CS,4,0),"")</f>
        <v/>
      </c>
      <c r="M48" s="45"/>
      <c r="N48" s="5"/>
      <c r="O48" s="3"/>
      <c r="P48" s="8"/>
      <c r="Q48" s="8"/>
      <c r="R48" s="5"/>
      <c r="S48" s="5"/>
      <c r="T48" s="3"/>
      <c r="U48" s="3"/>
      <c r="V48" s="5"/>
      <c r="W48" s="5"/>
      <c r="X48" s="5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>
        <f xml:space="preserve"> IF(AND(ISNUMBER(SEARCH("-E000",tblSOW7[[#This Row],[Budget Item]])), ISERROR(VLOOKUP(tblSOW7[[#This Row],[Employee name ]],[29]Parameters!CP:DH,19,0))),VLOOKUP(tblSOW7[[#This Row],[Employee name ]],[29]Parameters!CP:DH,19,0),IFERROR(VLOOKUP(tblSOW7[[#This Row],[Employee name ]],[29]Parameters!CP:DH,19,0),0))</f>
        <v>0</v>
      </c>
      <c r="BW48" s="43"/>
    </row>
    <row r="49" spans="1:75" s="36" customFormat="1" ht="16.5" customHeight="1">
      <c r="A49" s="5"/>
      <c r="B49" s="5"/>
      <c r="C49" s="5"/>
      <c r="D49" s="39"/>
      <c r="E49" s="40"/>
      <c r="F49" s="39"/>
      <c r="G49" s="4"/>
      <c r="H49" s="5"/>
      <c r="I49" s="3"/>
      <c r="J49" s="3"/>
      <c r="K49" s="3"/>
      <c r="L49" s="3" t="str">
        <f>IFERROR(VLOOKUP(tblSOW7[[#This Row],[Employee name ]],[29]Parameters!CP:CS,4,0),"")</f>
        <v/>
      </c>
      <c r="M49" s="45"/>
      <c r="N49" s="5"/>
      <c r="O49" s="3"/>
      <c r="P49" s="8"/>
      <c r="Q49" s="8"/>
      <c r="R49" s="5"/>
      <c r="S49" s="5"/>
      <c r="T49" s="3"/>
      <c r="U49" s="3"/>
      <c r="V49" s="5"/>
      <c r="W49" s="5"/>
      <c r="X49" s="5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>
        <f xml:space="preserve"> IF(AND(ISNUMBER(SEARCH("-E000",tblSOW7[[#This Row],[Budget Item]])), ISERROR(VLOOKUP(tblSOW7[[#This Row],[Employee name ]],[29]Parameters!CP:DH,19,0))),VLOOKUP(tblSOW7[[#This Row],[Employee name ]],[29]Parameters!CP:DH,19,0),IFERROR(VLOOKUP(tblSOW7[[#This Row],[Employee name ]],[29]Parameters!CP:DH,19,0),0))</f>
        <v>0</v>
      </c>
      <c r="BW49" s="43"/>
    </row>
    <row r="50" spans="1:75" s="36" customFormat="1" ht="16.5" customHeight="1">
      <c r="A50" s="5"/>
      <c r="B50" s="5"/>
      <c r="C50" s="5"/>
      <c r="D50" s="39"/>
      <c r="E50" s="40"/>
      <c r="F50" s="39"/>
      <c r="G50" s="4"/>
      <c r="H50" s="5"/>
      <c r="I50" s="3"/>
      <c r="J50" s="3"/>
      <c r="K50" s="3"/>
      <c r="L50" s="3" t="str">
        <f>IFERROR(VLOOKUP(tblSOW7[[#This Row],[Employee name ]],[29]Parameters!CP:CS,4,0),"")</f>
        <v/>
      </c>
      <c r="M50" s="45"/>
      <c r="N50" s="5"/>
      <c r="O50" s="3"/>
      <c r="P50" s="8"/>
      <c r="Q50" s="8"/>
      <c r="R50" s="5"/>
      <c r="S50" s="5"/>
      <c r="T50" s="3"/>
      <c r="U50" s="3"/>
      <c r="V50" s="5"/>
      <c r="W50" s="5"/>
      <c r="X50" s="5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>
        <f xml:space="preserve"> IF(AND(ISNUMBER(SEARCH("-E000",tblSOW7[[#This Row],[Budget Item]])), ISERROR(VLOOKUP(tblSOW7[[#This Row],[Employee name ]],[29]Parameters!CP:DH,19,0))),VLOOKUP(tblSOW7[[#This Row],[Employee name ]],[29]Parameters!CP:DH,19,0),IFERROR(VLOOKUP(tblSOW7[[#This Row],[Employee name ]],[29]Parameters!CP:DH,19,0),0))</f>
        <v>0</v>
      </c>
      <c r="BW50" s="43"/>
    </row>
    <row r="51" spans="1:75" s="36" customFormat="1" ht="16.5" customHeight="1">
      <c r="A51" s="5"/>
      <c r="B51" s="5"/>
      <c r="C51" s="5"/>
      <c r="D51" s="39"/>
      <c r="E51" s="40"/>
      <c r="F51" s="39"/>
      <c r="G51" s="4"/>
      <c r="H51" s="5"/>
      <c r="I51" s="3"/>
      <c r="J51" s="3"/>
      <c r="K51" s="3"/>
      <c r="L51" s="3" t="str">
        <f>IFERROR(VLOOKUP(tblSOW7[[#This Row],[Employee name ]],[29]Parameters!CP:CS,4,0),"")</f>
        <v/>
      </c>
      <c r="M51" s="45"/>
      <c r="N51" s="5"/>
      <c r="O51" s="3"/>
      <c r="P51" s="8"/>
      <c r="Q51" s="8"/>
      <c r="R51" s="5"/>
      <c r="S51" s="5"/>
      <c r="T51" s="3"/>
      <c r="U51" s="3"/>
      <c r="V51" s="5"/>
      <c r="W51" s="5"/>
      <c r="X51" s="5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>
        <f xml:space="preserve"> IF(AND(ISNUMBER(SEARCH("-E000",tblSOW7[[#This Row],[Budget Item]])), ISERROR(VLOOKUP(tblSOW7[[#This Row],[Employee name ]],[29]Parameters!CP:DH,19,0))),VLOOKUP(tblSOW7[[#This Row],[Employee name ]],[29]Parameters!CP:DH,19,0),IFERROR(VLOOKUP(tblSOW7[[#This Row],[Employee name ]],[29]Parameters!CP:DH,19,0),0))</f>
        <v>0</v>
      </c>
      <c r="BW51" s="43"/>
    </row>
    <row r="52" spans="1:75" s="36" customFormat="1" ht="16.5" customHeight="1">
      <c r="A52" s="5"/>
      <c r="B52" s="5"/>
      <c r="C52" s="5"/>
      <c r="D52" s="39"/>
      <c r="E52" s="40"/>
      <c r="F52" s="39"/>
      <c r="G52" s="4"/>
      <c r="H52" s="5"/>
      <c r="I52" s="3"/>
      <c r="J52" s="3"/>
      <c r="K52" s="3"/>
      <c r="L52" s="3" t="str">
        <f>IFERROR(VLOOKUP(tblSOW7[[#This Row],[Employee name ]],[29]Parameters!CP:CS,4,0),"")</f>
        <v/>
      </c>
      <c r="M52" s="45"/>
      <c r="N52" s="5"/>
      <c r="O52" s="3"/>
      <c r="P52" s="8"/>
      <c r="Q52" s="8"/>
      <c r="R52" s="5"/>
      <c r="S52" s="5"/>
      <c r="T52" s="3"/>
      <c r="U52" s="3"/>
      <c r="V52" s="5"/>
      <c r="W52" s="5"/>
      <c r="X52" s="5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>
        <f xml:space="preserve"> IF(AND(ISNUMBER(SEARCH("-E000",tblSOW7[[#This Row],[Budget Item]])), ISERROR(VLOOKUP(tblSOW7[[#This Row],[Employee name ]],[29]Parameters!CP:DH,19,0))),VLOOKUP(tblSOW7[[#This Row],[Employee name ]],[29]Parameters!CP:DH,19,0),IFERROR(VLOOKUP(tblSOW7[[#This Row],[Employee name ]],[29]Parameters!CP:DH,19,0),0))</f>
        <v>0</v>
      </c>
      <c r="BW52" s="43"/>
    </row>
    <row r="53" spans="1:75" s="36" customFormat="1" ht="16.5" customHeight="1">
      <c r="A53" s="5"/>
      <c r="B53" s="5"/>
      <c r="C53" s="5"/>
      <c r="D53" s="39"/>
      <c r="E53" s="40"/>
      <c r="F53" s="39"/>
      <c r="G53" s="4"/>
      <c r="H53" s="5"/>
      <c r="I53" s="3"/>
      <c r="J53" s="3"/>
      <c r="K53" s="3"/>
      <c r="L53" s="3" t="str">
        <f>IFERROR(VLOOKUP(tblSOW7[[#This Row],[Employee name ]],[29]Parameters!CP:CS,4,0),"")</f>
        <v/>
      </c>
      <c r="M53" s="45"/>
      <c r="N53" s="5"/>
      <c r="O53" s="3"/>
      <c r="P53" s="8"/>
      <c r="Q53" s="8"/>
      <c r="R53" s="5"/>
      <c r="S53" s="5"/>
      <c r="T53" s="3"/>
      <c r="U53" s="3"/>
      <c r="V53" s="5"/>
      <c r="W53" s="5"/>
      <c r="X53" s="5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>
        <f xml:space="preserve"> IF(AND(ISNUMBER(SEARCH("-E000",tblSOW7[[#This Row],[Budget Item]])), ISERROR(VLOOKUP(tblSOW7[[#This Row],[Employee name ]],[29]Parameters!CP:DH,19,0))),VLOOKUP(tblSOW7[[#This Row],[Employee name ]],[29]Parameters!CP:DH,19,0),IFERROR(VLOOKUP(tblSOW7[[#This Row],[Employee name ]],[29]Parameters!CP:DH,19,0),0))</f>
        <v>0</v>
      </c>
      <c r="BW53" s="43"/>
    </row>
    <row r="54" spans="1:75" s="36" customFormat="1" ht="16.5" customHeight="1">
      <c r="A54" s="5"/>
      <c r="B54" s="5"/>
      <c r="C54" s="5"/>
      <c r="D54" s="39"/>
      <c r="E54" s="40"/>
      <c r="F54" s="39"/>
      <c r="G54" s="4"/>
      <c r="H54" s="5"/>
      <c r="I54" s="3"/>
      <c r="J54" s="3"/>
      <c r="K54" s="3"/>
      <c r="L54" s="3" t="str">
        <f>IFERROR(VLOOKUP(tblSOW7[[#This Row],[Employee name ]],[29]Parameters!CP:CS,4,0),"")</f>
        <v/>
      </c>
      <c r="M54" s="45"/>
      <c r="N54" s="5"/>
      <c r="O54" s="3"/>
      <c r="P54" s="8"/>
      <c r="Q54" s="8"/>
      <c r="R54" s="5"/>
      <c r="S54" s="5"/>
      <c r="T54" s="3"/>
      <c r="U54" s="3"/>
      <c r="V54" s="5"/>
      <c r="W54" s="5"/>
      <c r="X54" s="5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>
        <f xml:space="preserve"> IF(AND(ISNUMBER(SEARCH("-E000",tblSOW7[[#This Row],[Budget Item]])), ISERROR(VLOOKUP(tblSOW7[[#This Row],[Employee name ]],[29]Parameters!CP:DH,19,0))),VLOOKUP(tblSOW7[[#This Row],[Employee name ]],[29]Parameters!CP:DH,19,0),IFERROR(VLOOKUP(tblSOW7[[#This Row],[Employee name ]],[29]Parameters!CP:DH,19,0),0))</f>
        <v>0</v>
      </c>
      <c r="BW54" s="43"/>
    </row>
    <row r="55" spans="1:75" s="36" customFormat="1" ht="16.5" customHeight="1">
      <c r="A55" s="5"/>
      <c r="B55" s="5"/>
      <c r="C55" s="5"/>
      <c r="D55" s="39"/>
      <c r="E55" s="40"/>
      <c r="F55" s="39"/>
      <c r="G55" s="4"/>
      <c r="H55" s="5"/>
      <c r="I55" s="3"/>
      <c r="J55" s="3"/>
      <c r="K55" s="3"/>
      <c r="L55" s="3" t="str">
        <f>IFERROR(VLOOKUP(tblSOW7[[#This Row],[Employee name ]],[29]Parameters!CP:CS,4,0),"")</f>
        <v/>
      </c>
      <c r="M55" s="45"/>
      <c r="N55" s="5"/>
      <c r="O55" s="3"/>
      <c r="P55" s="8"/>
      <c r="Q55" s="8"/>
      <c r="R55" s="5"/>
      <c r="S55" s="5"/>
      <c r="T55" s="3"/>
      <c r="U55" s="3"/>
      <c r="V55" s="5"/>
      <c r="W55" s="5"/>
      <c r="X55" s="5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>
        <f xml:space="preserve"> IF(AND(ISNUMBER(SEARCH("-E000",tblSOW7[[#This Row],[Budget Item]])), ISERROR(VLOOKUP(tblSOW7[[#This Row],[Employee name ]],[29]Parameters!CP:DH,19,0))),VLOOKUP(tblSOW7[[#This Row],[Employee name ]],[29]Parameters!CP:DH,19,0),IFERROR(VLOOKUP(tblSOW7[[#This Row],[Employee name ]],[29]Parameters!CP:DH,19,0),0))</f>
        <v>0</v>
      </c>
      <c r="BW55" s="43"/>
    </row>
    <row r="56" spans="1:75" s="36" customFormat="1" ht="16.5" customHeight="1">
      <c r="A56" s="5"/>
      <c r="B56" s="5"/>
      <c r="C56" s="5"/>
      <c r="D56" s="39"/>
      <c r="E56" s="40"/>
      <c r="F56" s="39"/>
      <c r="G56" s="4"/>
      <c r="H56" s="5"/>
      <c r="I56" s="3"/>
      <c r="J56" s="3"/>
      <c r="K56" s="3"/>
      <c r="L56" s="3" t="str">
        <f>IFERROR(VLOOKUP(tblSOW7[[#This Row],[Employee name ]],[29]Parameters!CP:CS,4,0),"")</f>
        <v/>
      </c>
      <c r="M56" s="45"/>
      <c r="N56" s="5"/>
      <c r="O56" s="3"/>
      <c r="P56" s="8"/>
      <c r="Q56" s="8"/>
      <c r="R56" s="5"/>
      <c r="S56" s="5"/>
      <c r="T56" s="3"/>
      <c r="U56" s="3"/>
      <c r="V56" s="5"/>
      <c r="W56" s="5"/>
      <c r="X56" s="5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>
        <f xml:space="preserve"> IF(AND(ISNUMBER(SEARCH("-E000",tblSOW7[[#This Row],[Budget Item]])), ISERROR(VLOOKUP(tblSOW7[[#This Row],[Employee name ]],[29]Parameters!CP:DH,19,0))),VLOOKUP(tblSOW7[[#This Row],[Employee name ]],[29]Parameters!CP:DH,19,0),IFERROR(VLOOKUP(tblSOW7[[#This Row],[Employee name ]],[29]Parameters!CP:DH,19,0),0))</f>
        <v>0</v>
      </c>
      <c r="BW56" s="43"/>
    </row>
    <row r="57" spans="1:75" s="36" customFormat="1" ht="16.5" customHeight="1">
      <c r="A57" s="5"/>
      <c r="B57" s="5"/>
      <c r="C57" s="5"/>
      <c r="D57" s="39"/>
      <c r="E57" s="40"/>
      <c r="F57" s="39"/>
      <c r="G57" s="4"/>
      <c r="H57" s="5"/>
      <c r="I57" s="3"/>
      <c r="J57" s="3"/>
      <c r="K57" s="3"/>
      <c r="L57" s="3" t="str">
        <f>IFERROR(VLOOKUP(tblSOW7[[#This Row],[Employee name ]],[29]Parameters!CP:CS,4,0),"")</f>
        <v/>
      </c>
      <c r="M57" s="45"/>
      <c r="N57" s="5"/>
      <c r="O57" s="3"/>
      <c r="P57" s="8"/>
      <c r="Q57" s="8"/>
      <c r="R57" s="5"/>
      <c r="S57" s="5"/>
      <c r="T57" s="3"/>
      <c r="U57" s="3"/>
      <c r="V57" s="5"/>
      <c r="W57" s="5"/>
      <c r="X57" s="5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>
        <f xml:space="preserve"> IF(AND(ISNUMBER(SEARCH("-E000",tblSOW7[[#This Row],[Budget Item]])), ISERROR(VLOOKUP(tblSOW7[[#This Row],[Employee name ]],[29]Parameters!CP:DH,19,0))),VLOOKUP(tblSOW7[[#This Row],[Employee name ]],[29]Parameters!CP:DH,19,0),IFERROR(VLOOKUP(tblSOW7[[#This Row],[Employee name ]],[29]Parameters!CP:DH,19,0),0))</f>
        <v>0</v>
      </c>
      <c r="BW57" s="43"/>
    </row>
    <row r="58" spans="1:75" s="36" customFormat="1" ht="16.5" customHeight="1">
      <c r="A58" s="5"/>
      <c r="B58" s="5"/>
      <c r="C58" s="5"/>
      <c r="D58" s="39"/>
      <c r="E58" s="40"/>
      <c r="F58" s="39"/>
      <c r="G58" s="4"/>
      <c r="H58" s="5"/>
      <c r="I58" s="3"/>
      <c r="J58" s="3"/>
      <c r="K58" s="3"/>
      <c r="L58" s="3" t="str">
        <f>IFERROR(VLOOKUP(tblSOW7[[#This Row],[Employee name ]],[29]Parameters!CP:CS,4,0),"")</f>
        <v/>
      </c>
      <c r="M58" s="45"/>
      <c r="N58" s="5"/>
      <c r="O58" s="3"/>
      <c r="P58" s="8"/>
      <c r="Q58" s="8"/>
      <c r="R58" s="5"/>
      <c r="S58" s="5"/>
      <c r="T58" s="3"/>
      <c r="U58" s="3"/>
      <c r="V58" s="5"/>
      <c r="W58" s="5"/>
      <c r="X58" s="5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>
        <f xml:space="preserve"> IF(AND(ISNUMBER(SEARCH("-E000",tblSOW7[[#This Row],[Budget Item]])), ISERROR(VLOOKUP(tblSOW7[[#This Row],[Employee name ]],[29]Parameters!CP:DH,19,0))),VLOOKUP(tblSOW7[[#This Row],[Employee name ]],[29]Parameters!CP:DH,19,0),IFERROR(VLOOKUP(tblSOW7[[#This Row],[Employee name ]],[29]Parameters!CP:DH,19,0),0))</f>
        <v>0</v>
      </c>
      <c r="BW58" s="43"/>
    </row>
    <row r="59" spans="1:75" s="36" customFormat="1" ht="16.5" customHeight="1">
      <c r="A59" s="5"/>
      <c r="B59" s="5"/>
      <c r="C59" s="5"/>
      <c r="D59" s="39"/>
      <c r="E59" s="40"/>
      <c r="F59" s="39"/>
      <c r="G59" s="4"/>
      <c r="H59" s="5"/>
      <c r="I59" s="3"/>
      <c r="J59" s="3"/>
      <c r="K59" s="3"/>
      <c r="L59" s="3" t="str">
        <f>IFERROR(VLOOKUP(tblSOW7[[#This Row],[Employee name ]],[29]Parameters!CP:CS,4,0),"")</f>
        <v/>
      </c>
      <c r="M59" s="45"/>
      <c r="N59" s="5"/>
      <c r="O59" s="3"/>
      <c r="P59" s="8"/>
      <c r="Q59" s="8"/>
      <c r="R59" s="5"/>
      <c r="S59" s="5"/>
      <c r="T59" s="3"/>
      <c r="U59" s="3"/>
      <c r="V59" s="5"/>
      <c r="W59" s="5"/>
      <c r="X59" s="5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>
        <f xml:space="preserve"> IF(AND(ISNUMBER(SEARCH("-E000",tblSOW7[[#This Row],[Budget Item]])), ISERROR(VLOOKUP(tblSOW7[[#This Row],[Employee name ]],[29]Parameters!CP:DH,19,0))),VLOOKUP(tblSOW7[[#This Row],[Employee name ]],[29]Parameters!CP:DH,19,0),IFERROR(VLOOKUP(tblSOW7[[#This Row],[Employee name ]],[29]Parameters!CP:DH,19,0),0))</f>
        <v>0</v>
      </c>
      <c r="BW59" s="43"/>
    </row>
    <row r="60" spans="1:75" s="36" customFormat="1" ht="16.5" customHeight="1">
      <c r="A60" s="5"/>
      <c r="B60" s="5"/>
      <c r="C60" s="5"/>
      <c r="D60" s="39"/>
      <c r="E60" s="40"/>
      <c r="F60" s="39"/>
      <c r="G60" s="4"/>
      <c r="H60" s="5"/>
      <c r="I60" s="3"/>
      <c r="J60" s="3"/>
      <c r="K60" s="3"/>
      <c r="L60" s="3" t="str">
        <f>IFERROR(VLOOKUP(tblSOW7[[#This Row],[Employee name ]],[29]Parameters!CP:CS,4,0),"")</f>
        <v/>
      </c>
      <c r="M60" s="45"/>
      <c r="N60" s="5"/>
      <c r="O60" s="3"/>
      <c r="P60" s="8"/>
      <c r="Q60" s="8"/>
      <c r="R60" s="5"/>
      <c r="S60" s="5"/>
      <c r="T60" s="3"/>
      <c r="U60" s="3"/>
      <c r="V60" s="5"/>
      <c r="W60" s="5"/>
      <c r="X60" s="5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>
        <f xml:space="preserve"> IF(AND(ISNUMBER(SEARCH("-E000",tblSOW7[[#This Row],[Budget Item]])), ISERROR(VLOOKUP(tblSOW7[[#This Row],[Employee name ]],[29]Parameters!CP:DH,19,0))),VLOOKUP(tblSOW7[[#This Row],[Employee name ]],[29]Parameters!CP:DH,19,0),IFERROR(VLOOKUP(tblSOW7[[#This Row],[Employee name ]],[29]Parameters!CP:DH,19,0),0))</f>
        <v>0</v>
      </c>
      <c r="BW60" s="43"/>
    </row>
    <row r="61" spans="1:75" s="36" customFormat="1" ht="16.5" customHeight="1">
      <c r="A61" s="5"/>
      <c r="B61" s="5"/>
      <c r="C61" s="5"/>
      <c r="D61" s="39"/>
      <c r="E61" s="40"/>
      <c r="F61" s="39"/>
      <c r="G61" s="4"/>
      <c r="H61" s="5"/>
      <c r="I61" s="3"/>
      <c r="J61" s="3"/>
      <c r="K61" s="3"/>
      <c r="L61" s="3" t="str">
        <f>IFERROR(VLOOKUP(tblSOW7[[#This Row],[Employee name ]],[29]Parameters!CP:CS,4,0),"")</f>
        <v/>
      </c>
      <c r="M61" s="45"/>
      <c r="N61" s="5"/>
      <c r="O61" s="3"/>
      <c r="P61" s="8"/>
      <c r="Q61" s="8"/>
      <c r="R61" s="5"/>
      <c r="S61" s="5"/>
      <c r="T61" s="3"/>
      <c r="U61" s="3"/>
      <c r="V61" s="5"/>
      <c r="W61" s="5"/>
      <c r="X61" s="5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>
        <f xml:space="preserve"> IF(AND(ISNUMBER(SEARCH("-E000",tblSOW7[[#This Row],[Budget Item]])), ISERROR(VLOOKUP(tblSOW7[[#This Row],[Employee name ]],[29]Parameters!CP:DH,19,0))),VLOOKUP(tblSOW7[[#This Row],[Employee name ]],[29]Parameters!CP:DH,19,0),IFERROR(VLOOKUP(tblSOW7[[#This Row],[Employee name ]],[29]Parameters!CP:DH,19,0),0))</f>
        <v>0</v>
      </c>
      <c r="BW61" s="43"/>
    </row>
    <row r="62" spans="1:75" s="36" customFormat="1" ht="16.5" customHeight="1">
      <c r="A62" s="5"/>
      <c r="B62" s="5"/>
      <c r="C62" s="5"/>
      <c r="D62" s="39"/>
      <c r="E62" s="40"/>
      <c r="F62" s="39"/>
      <c r="G62" s="4"/>
      <c r="H62" s="5"/>
      <c r="I62" s="3"/>
      <c r="J62" s="3"/>
      <c r="K62" s="3"/>
      <c r="L62" s="3" t="str">
        <f>IFERROR(VLOOKUP(tblSOW7[[#This Row],[Employee name ]],[29]Parameters!CP:CS,4,0),"")</f>
        <v/>
      </c>
      <c r="M62" s="45"/>
      <c r="N62" s="5"/>
      <c r="O62" s="3"/>
      <c r="P62" s="8"/>
      <c r="Q62" s="8"/>
      <c r="R62" s="5"/>
      <c r="S62" s="5"/>
      <c r="T62" s="3"/>
      <c r="U62" s="3"/>
      <c r="V62" s="5"/>
      <c r="W62" s="5"/>
      <c r="X62" s="5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>
        <f xml:space="preserve"> IF(AND(ISNUMBER(SEARCH("-E000",tblSOW7[[#This Row],[Budget Item]])), ISERROR(VLOOKUP(tblSOW7[[#This Row],[Employee name ]],[29]Parameters!CP:DH,19,0))),VLOOKUP(tblSOW7[[#This Row],[Employee name ]],[29]Parameters!CP:DH,19,0),IFERROR(VLOOKUP(tblSOW7[[#This Row],[Employee name ]],[29]Parameters!CP:DH,19,0),0))</f>
        <v>0</v>
      </c>
      <c r="BW62" s="43"/>
    </row>
    <row r="63" spans="1:75" s="36" customFormat="1" ht="16.5" customHeight="1">
      <c r="A63" s="5"/>
      <c r="B63" s="5"/>
      <c r="C63" s="5"/>
      <c r="D63" s="39"/>
      <c r="E63" s="40"/>
      <c r="F63" s="39"/>
      <c r="G63" s="4"/>
      <c r="H63" s="5"/>
      <c r="I63" s="3"/>
      <c r="J63" s="3"/>
      <c r="K63" s="3"/>
      <c r="L63" s="3" t="str">
        <f>IFERROR(VLOOKUP(tblSOW7[[#This Row],[Employee name ]],[29]Parameters!CP:CS,4,0),"")</f>
        <v/>
      </c>
      <c r="M63" s="45"/>
      <c r="N63" s="5"/>
      <c r="O63" s="3"/>
      <c r="P63" s="8"/>
      <c r="Q63" s="8"/>
      <c r="R63" s="5"/>
      <c r="S63" s="5"/>
      <c r="T63" s="3"/>
      <c r="U63" s="3"/>
      <c r="V63" s="5"/>
      <c r="W63" s="5"/>
      <c r="X63" s="5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>
        <f xml:space="preserve"> IF(AND(ISNUMBER(SEARCH("-E000",tblSOW7[[#This Row],[Budget Item]])), ISERROR(VLOOKUP(tblSOW7[[#This Row],[Employee name ]],[29]Parameters!CP:DH,19,0))),VLOOKUP(tblSOW7[[#This Row],[Employee name ]],[29]Parameters!CP:DH,19,0),IFERROR(VLOOKUP(tblSOW7[[#This Row],[Employee name ]],[29]Parameters!CP:DH,19,0),0))</f>
        <v>0</v>
      </c>
      <c r="BW63" s="43"/>
    </row>
    <row r="64" spans="1:75" s="36" customFormat="1" ht="16.5" customHeight="1">
      <c r="A64" s="5"/>
      <c r="B64" s="5"/>
      <c r="C64" s="5"/>
      <c r="D64" s="39"/>
      <c r="E64" s="40"/>
      <c r="F64" s="39"/>
      <c r="G64" s="4"/>
      <c r="H64" s="5"/>
      <c r="I64" s="3"/>
      <c r="J64" s="3"/>
      <c r="K64" s="3"/>
      <c r="L64" s="3" t="str">
        <f>IFERROR(VLOOKUP(tblSOW7[[#This Row],[Employee name ]],[29]Parameters!CP:CS,4,0),"")</f>
        <v/>
      </c>
      <c r="M64" s="45"/>
      <c r="N64" s="5"/>
      <c r="O64" s="3"/>
      <c r="P64" s="8"/>
      <c r="Q64" s="8"/>
      <c r="R64" s="5"/>
      <c r="S64" s="5"/>
      <c r="T64" s="3"/>
      <c r="U64" s="3"/>
      <c r="V64" s="5"/>
      <c r="W64" s="5"/>
      <c r="X64" s="5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>
        <f xml:space="preserve"> IF(AND(ISNUMBER(SEARCH("-E000",tblSOW7[[#This Row],[Budget Item]])), ISERROR(VLOOKUP(tblSOW7[[#This Row],[Employee name ]],[29]Parameters!CP:DH,19,0))),VLOOKUP(tblSOW7[[#This Row],[Employee name ]],[29]Parameters!CP:DH,19,0),IFERROR(VLOOKUP(tblSOW7[[#This Row],[Employee name ]],[29]Parameters!CP:DH,19,0),0))</f>
        <v>0</v>
      </c>
      <c r="BW64" s="43"/>
    </row>
    <row r="65" spans="1:75" s="36" customFormat="1" ht="16.5" customHeight="1">
      <c r="A65" s="5"/>
      <c r="B65" s="5"/>
      <c r="C65" s="5"/>
      <c r="D65" s="39"/>
      <c r="E65" s="40"/>
      <c r="F65" s="39"/>
      <c r="G65" s="4"/>
      <c r="H65" s="5"/>
      <c r="I65" s="3"/>
      <c r="J65" s="3"/>
      <c r="K65" s="3"/>
      <c r="L65" s="3" t="str">
        <f>IFERROR(VLOOKUP(tblSOW7[[#This Row],[Employee name ]],[29]Parameters!CP:CS,4,0),"")</f>
        <v/>
      </c>
      <c r="M65" s="45"/>
      <c r="N65" s="5"/>
      <c r="O65" s="3"/>
      <c r="P65" s="8"/>
      <c r="Q65" s="8"/>
      <c r="R65" s="5"/>
      <c r="S65" s="5"/>
      <c r="T65" s="3"/>
      <c r="U65" s="3"/>
      <c r="V65" s="5"/>
      <c r="W65" s="5"/>
      <c r="X65" s="5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>
        <f xml:space="preserve"> IF(AND(ISNUMBER(SEARCH("-E000",tblSOW7[[#This Row],[Budget Item]])), ISERROR(VLOOKUP(tblSOW7[[#This Row],[Employee name ]],[29]Parameters!CP:DH,19,0))),VLOOKUP(tblSOW7[[#This Row],[Employee name ]],[29]Parameters!CP:DH,19,0),IFERROR(VLOOKUP(tblSOW7[[#This Row],[Employee name ]],[29]Parameters!CP:DH,19,0),0))</f>
        <v>0</v>
      </c>
      <c r="BW65" s="43"/>
    </row>
    <row r="66" spans="1:75" s="36" customFormat="1" ht="16.5" customHeight="1">
      <c r="A66" s="5"/>
      <c r="B66" s="5"/>
      <c r="C66" s="5"/>
      <c r="D66" s="39"/>
      <c r="E66" s="40"/>
      <c r="F66" s="39"/>
      <c r="G66" s="4"/>
      <c r="H66" s="5"/>
      <c r="I66" s="3"/>
      <c r="J66" s="3"/>
      <c r="K66" s="3"/>
      <c r="L66" s="3" t="str">
        <f>IFERROR(VLOOKUP(tblSOW7[[#This Row],[Employee name ]],[29]Parameters!CP:CS,4,0),"")</f>
        <v/>
      </c>
      <c r="M66" s="45"/>
      <c r="N66" s="5"/>
      <c r="O66" s="3"/>
      <c r="P66" s="8"/>
      <c r="Q66" s="8"/>
      <c r="R66" s="5"/>
      <c r="S66" s="5"/>
      <c r="T66" s="3"/>
      <c r="U66" s="3"/>
      <c r="V66" s="5"/>
      <c r="W66" s="5"/>
      <c r="X66" s="5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>
        <f xml:space="preserve"> IF(AND(ISNUMBER(SEARCH("-E000",tblSOW7[[#This Row],[Budget Item]])), ISERROR(VLOOKUP(tblSOW7[[#This Row],[Employee name ]],[29]Parameters!CP:DH,19,0))),VLOOKUP(tblSOW7[[#This Row],[Employee name ]],[29]Parameters!CP:DH,19,0),IFERROR(VLOOKUP(tblSOW7[[#This Row],[Employee name ]],[29]Parameters!CP:DH,19,0),0))</f>
        <v>0</v>
      </c>
      <c r="BW66" s="43"/>
    </row>
    <row r="67" spans="1:75" s="36" customFormat="1" ht="16.5" customHeight="1">
      <c r="A67" s="5"/>
      <c r="B67" s="5"/>
      <c r="C67" s="5"/>
      <c r="D67" s="39"/>
      <c r="E67" s="40"/>
      <c r="F67" s="39"/>
      <c r="G67" s="4"/>
      <c r="H67" s="5"/>
      <c r="I67" s="3"/>
      <c r="J67" s="3"/>
      <c r="K67" s="3"/>
      <c r="L67" s="3" t="str">
        <f>IFERROR(VLOOKUP(tblSOW7[[#This Row],[Employee name ]],[29]Parameters!CP:CS,4,0),"")</f>
        <v/>
      </c>
      <c r="M67" s="45"/>
      <c r="N67" s="5"/>
      <c r="O67" s="3"/>
      <c r="P67" s="8"/>
      <c r="Q67" s="8"/>
      <c r="R67" s="5"/>
      <c r="S67" s="5"/>
      <c r="T67" s="3"/>
      <c r="U67" s="3"/>
      <c r="V67" s="5"/>
      <c r="W67" s="5"/>
      <c r="X67" s="5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>
        <f xml:space="preserve"> IF(AND(ISNUMBER(SEARCH("-E000",tblSOW7[[#This Row],[Budget Item]])), ISERROR(VLOOKUP(tblSOW7[[#This Row],[Employee name ]],[29]Parameters!CP:DH,19,0))),VLOOKUP(tblSOW7[[#This Row],[Employee name ]],[29]Parameters!CP:DH,19,0),IFERROR(VLOOKUP(tblSOW7[[#This Row],[Employee name ]],[29]Parameters!CP:DH,19,0),0))</f>
        <v>0</v>
      </c>
      <c r="BW67" s="43"/>
    </row>
    <row r="68" spans="1:75" s="36" customFormat="1" ht="16.5" customHeight="1">
      <c r="A68" s="5"/>
      <c r="B68" s="5"/>
      <c r="C68" s="5"/>
      <c r="D68" s="39"/>
      <c r="E68" s="40"/>
      <c r="F68" s="39"/>
      <c r="G68" s="4"/>
      <c r="H68" s="5"/>
      <c r="I68" s="3"/>
      <c r="J68" s="3"/>
      <c r="K68" s="3"/>
      <c r="L68" s="3" t="str">
        <f>IFERROR(VLOOKUP(tblSOW7[[#This Row],[Employee name ]],[29]Parameters!CP:CS,4,0),"")</f>
        <v/>
      </c>
      <c r="M68" s="45"/>
      <c r="N68" s="5"/>
      <c r="O68" s="3"/>
      <c r="P68" s="8"/>
      <c r="Q68" s="8"/>
      <c r="R68" s="5"/>
      <c r="S68" s="5"/>
      <c r="T68" s="3"/>
      <c r="U68" s="3"/>
      <c r="V68" s="5"/>
      <c r="W68" s="5"/>
      <c r="X68" s="5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>
        <f xml:space="preserve"> IF(AND(ISNUMBER(SEARCH("-E000",tblSOW7[[#This Row],[Budget Item]])), ISERROR(VLOOKUP(tblSOW7[[#This Row],[Employee name ]],[29]Parameters!CP:DH,19,0))),VLOOKUP(tblSOW7[[#This Row],[Employee name ]],[29]Parameters!CP:DH,19,0),IFERROR(VLOOKUP(tblSOW7[[#This Row],[Employee name ]],[29]Parameters!CP:DH,19,0),0))</f>
        <v>0</v>
      </c>
      <c r="BW68" s="43"/>
    </row>
    <row r="69" spans="1:75" s="36" customFormat="1" ht="16.5" customHeight="1">
      <c r="A69" s="5"/>
      <c r="B69" s="5"/>
      <c r="C69" s="5"/>
      <c r="D69" s="39"/>
      <c r="E69" s="40"/>
      <c r="F69" s="39"/>
      <c r="G69" s="4"/>
      <c r="H69" s="5"/>
      <c r="I69" s="3"/>
      <c r="J69" s="3"/>
      <c r="K69" s="3"/>
      <c r="L69" s="3" t="str">
        <f>IFERROR(VLOOKUP(tblSOW7[[#This Row],[Employee name ]],[29]Parameters!CP:CS,4,0),"")</f>
        <v/>
      </c>
      <c r="M69" s="45"/>
      <c r="N69" s="5"/>
      <c r="O69" s="3"/>
      <c r="P69" s="8"/>
      <c r="Q69" s="8"/>
      <c r="R69" s="5"/>
      <c r="S69" s="5"/>
      <c r="T69" s="3"/>
      <c r="U69" s="3"/>
      <c r="V69" s="5"/>
      <c r="W69" s="5"/>
      <c r="X69" s="5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>
        <f xml:space="preserve"> IF(AND(ISNUMBER(SEARCH("-E000",tblSOW7[[#This Row],[Budget Item]])), ISERROR(VLOOKUP(tblSOW7[[#This Row],[Employee name ]],[29]Parameters!CP:DH,19,0))),VLOOKUP(tblSOW7[[#This Row],[Employee name ]],[29]Parameters!CP:DH,19,0),IFERROR(VLOOKUP(tblSOW7[[#This Row],[Employee name ]],[29]Parameters!CP:DH,19,0),0))</f>
        <v>0</v>
      </c>
      <c r="BW69" s="43"/>
    </row>
    <row r="70" spans="1:75" s="36" customFormat="1" ht="16.5" customHeight="1">
      <c r="A70" s="5"/>
      <c r="B70" s="5"/>
      <c r="C70" s="5"/>
      <c r="D70" s="39"/>
      <c r="E70" s="40"/>
      <c r="F70" s="39"/>
      <c r="G70" s="4"/>
      <c r="H70" s="5"/>
      <c r="I70" s="3"/>
      <c r="J70" s="3"/>
      <c r="K70" s="3"/>
      <c r="L70" s="3" t="str">
        <f>IFERROR(VLOOKUP(tblSOW7[[#This Row],[Employee name ]],[29]Parameters!CP:CS,4,0),"")</f>
        <v/>
      </c>
      <c r="M70" s="45"/>
      <c r="N70" s="5"/>
      <c r="O70" s="3"/>
      <c r="P70" s="8"/>
      <c r="Q70" s="8"/>
      <c r="R70" s="5"/>
      <c r="S70" s="5"/>
      <c r="T70" s="3"/>
      <c r="U70" s="3"/>
      <c r="V70" s="5"/>
      <c r="W70" s="5"/>
      <c r="X70" s="5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</row>
    <row r="71" spans="1:75" s="36" customFormat="1" ht="16.5" customHeight="1">
      <c r="A71" s="5"/>
      <c r="B71" s="5"/>
      <c r="C71" s="5"/>
      <c r="D71" s="39"/>
      <c r="E71" s="40"/>
      <c r="F71" s="39"/>
      <c r="G71" s="4"/>
      <c r="H71" s="5"/>
      <c r="I71" s="3"/>
      <c r="J71" s="3"/>
      <c r="K71" s="3"/>
      <c r="L71" s="3" t="str">
        <f>IFERROR(VLOOKUP(tblSOW7[[#This Row],[Employee name ]],[29]Parameters!CP:CS,4,0),"")</f>
        <v/>
      </c>
      <c r="M71" s="45"/>
      <c r="N71" s="5"/>
      <c r="O71" s="3"/>
      <c r="P71" s="8"/>
      <c r="Q71" s="8"/>
      <c r="R71" s="5"/>
      <c r="S71" s="5"/>
      <c r="T71" s="3"/>
      <c r="U71" s="3"/>
      <c r="V71" s="5"/>
      <c r="W71" s="5"/>
      <c r="X71" s="5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</row>
    <row r="72" spans="1:75" s="36" customFormat="1" ht="16.5" customHeight="1">
      <c r="A72" s="5"/>
      <c r="B72" s="5"/>
      <c r="C72" s="5"/>
      <c r="D72" s="39"/>
      <c r="E72" s="40"/>
      <c r="F72" s="39"/>
      <c r="G72" s="4"/>
      <c r="H72" s="5"/>
      <c r="I72" s="3"/>
      <c r="J72" s="3"/>
      <c r="K72" s="3"/>
      <c r="L72" s="3" t="str">
        <f>IFERROR(VLOOKUP(tblSOW7[[#This Row],[Employee name ]],[29]Parameters!CP:CS,4,0),"")</f>
        <v/>
      </c>
      <c r="M72" s="45"/>
      <c r="N72" s="5"/>
      <c r="O72" s="3"/>
      <c r="P72" s="8"/>
      <c r="Q72" s="8"/>
      <c r="R72" s="5"/>
      <c r="S72" s="5"/>
      <c r="T72" s="3"/>
      <c r="U72" s="3"/>
      <c r="V72" s="5"/>
      <c r="W72" s="5"/>
      <c r="X72" s="5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</row>
    <row r="73" spans="1:75" s="36" customFormat="1" ht="16.5" customHeight="1">
      <c r="A73" s="5"/>
      <c r="B73" s="5"/>
      <c r="C73" s="5"/>
      <c r="D73" s="39"/>
      <c r="E73" s="40"/>
      <c r="F73" s="39"/>
      <c r="G73" s="4"/>
      <c r="H73" s="5"/>
      <c r="I73" s="3"/>
      <c r="J73" s="3"/>
      <c r="K73" s="3"/>
      <c r="L73" s="3" t="str">
        <f>IFERROR(VLOOKUP(tblSOW7[[#This Row],[Employee name ]],[29]Parameters!CP:CS,4,0),"")</f>
        <v/>
      </c>
      <c r="M73" s="45"/>
      <c r="N73" s="5"/>
      <c r="O73" s="3"/>
      <c r="P73" s="8"/>
      <c r="Q73" s="8"/>
      <c r="R73" s="5"/>
      <c r="S73" s="5"/>
      <c r="T73" s="3"/>
      <c r="U73" s="3"/>
      <c r="V73" s="5"/>
      <c r="W73" s="5"/>
      <c r="X73" s="5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</row>
    <row r="74" spans="1:75" s="36" customFormat="1" ht="16.5" customHeight="1">
      <c r="A74" s="5"/>
      <c r="B74" s="5"/>
      <c r="C74" s="5"/>
      <c r="D74" s="39"/>
      <c r="E74" s="40"/>
      <c r="F74" s="39"/>
      <c r="G74" s="4"/>
      <c r="H74" s="5"/>
      <c r="I74" s="3"/>
      <c r="J74" s="3"/>
      <c r="K74" s="3"/>
      <c r="L74" s="3" t="str">
        <f>IFERROR(VLOOKUP(tblSOW7[[#This Row],[Employee name ]],[29]Parameters!CP:CS,4,0),"")</f>
        <v/>
      </c>
      <c r="M74" s="45"/>
      <c r="N74" s="5"/>
      <c r="O74" s="3"/>
      <c r="P74" s="8"/>
      <c r="Q74" s="8"/>
      <c r="R74" s="5"/>
      <c r="S74" s="5"/>
      <c r="T74" s="3"/>
      <c r="U74" s="3"/>
      <c r="V74" s="5"/>
      <c r="W74" s="5"/>
      <c r="X74" s="5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</row>
    <row r="75" spans="1:75" s="36" customFormat="1" ht="16.5" customHeight="1">
      <c r="A75" s="5"/>
      <c r="B75" s="5"/>
      <c r="C75" s="5"/>
      <c r="D75" s="39"/>
      <c r="E75" s="40"/>
      <c r="F75" s="39"/>
      <c r="G75" s="4"/>
      <c r="H75" s="5"/>
      <c r="I75" s="3"/>
      <c r="J75" s="3"/>
      <c r="K75" s="3"/>
      <c r="L75" s="3" t="str">
        <f>IFERROR(VLOOKUP(tblSOW7[[#This Row],[Employee name ]],[29]Parameters!CP:CS,4,0),"")</f>
        <v/>
      </c>
      <c r="M75" s="45"/>
      <c r="N75" s="5"/>
      <c r="O75" s="3"/>
      <c r="P75" s="8"/>
      <c r="Q75" s="8"/>
      <c r="R75" s="5"/>
      <c r="S75" s="5"/>
      <c r="T75" s="3"/>
      <c r="U75" s="3"/>
      <c r="V75" s="5"/>
      <c r="W75" s="5"/>
      <c r="X75" s="5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</row>
    <row r="76" spans="1:75" s="36" customFormat="1" ht="16.5" customHeight="1">
      <c r="A76" s="5"/>
      <c r="B76" s="5"/>
      <c r="C76" s="5"/>
      <c r="D76" s="39"/>
      <c r="E76" s="40"/>
      <c r="F76" s="39"/>
      <c r="G76" s="4"/>
      <c r="H76" s="5"/>
      <c r="I76" s="3"/>
      <c r="J76" s="3"/>
      <c r="K76" s="3"/>
      <c r="L76" s="3" t="str">
        <f>IFERROR(VLOOKUP(tblSOW7[[#This Row],[Employee name ]],[29]Parameters!CP:CS,4,0),"")</f>
        <v/>
      </c>
      <c r="M76" s="45"/>
      <c r="N76" s="5"/>
      <c r="O76" s="3"/>
      <c r="P76" s="8"/>
      <c r="Q76" s="8"/>
      <c r="R76" s="5"/>
      <c r="S76" s="5"/>
      <c r="T76" s="3"/>
      <c r="U76" s="3"/>
      <c r="V76" s="5"/>
      <c r="W76" s="5"/>
      <c r="X76" s="5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</row>
    <row r="77" spans="1:75" s="36" customFormat="1" ht="16.5" customHeight="1">
      <c r="A77" s="5"/>
      <c r="B77" s="5"/>
      <c r="C77" s="5"/>
      <c r="D77" s="39"/>
      <c r="E77" s="40"/>
      <c r="F77" s="39"/>
      <c r="G77" s="4"/>
      <c r="H77" s="5"/>
      <c r="I77" s="3"/>
      <c r="J77" s="3"/>
      <c r="K77" s="3"/>
      <c r="L77" s="3" t="str">
        <f>IFERROR(VLOOKUP(tblSOW7[[#This Row],[Employee name ]],[29]Parameters!CP:CS,4,0),"")</f>
        <v/>
      </c>
      <c r="M77" s="45"/>
      <c r="N77" s="5"/>
      <c r="O77" s="3"/>
      <c r="P77" s="8"/>
      <c r="Q77" s="8"/>
      <c r="R77" s="5"/>
      <c r="S77" s="5"/>
      <c r="T77" s="3"/>
      <c r="U77" s="3"/>
      <c r="V77" s="5"/>
      <c r="W77" s="5"/>
      <c r="X77" s="5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</row>
    <row r="78" spans="1:75" s="36" customFormat="1" ht="16.5" customHeight="1">
      <c r="A78" s="5"/>
      <c r="B78" s="5"/>
      <c r="C78" s="5"/>
      <c r="D78" s="39"/>
      <c r="E78" s="40"/>
      <c r="F78" s="39"/>
      <c r="G78" s="4"/>
      <c r="H78" s="5"/>
      <c r="I78" s="3"/>
      <c r="J78" s="3"/>
      <c r="K78" s="3"/>
      <c r="L78" s="3" t="str">
        <f>IFERROR(VLOOKUP(tblSOW7[[#This Row],[Employee name ]],[29]Parameters!CP:CS,4,0),"")</f>
        <v/>
      </c>
      <c r="M78" s="45"/>
      <c r="N78" s="5"/>
      <c r="O78" s="3"/>
      <c r="P78" s="8"/>
      <c r="Q78" s="8"/>
      <c r="R78" s="5"/>
      <c r="S78" s="5"/>
      <c r="T78" s="3"/>
      <c r="U78" s="3"/>
      <c r="V78" s="5"/>
      <c r="W78" s="5"/>
      <c r="X78" s="5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</row>
    <row r="79" spans="1:75" s="36" customFormat="1" ht="16.5" customHeight="1">
      <c r="A79" s="5"/>
      <c r="B79" s="5"/>
      <c r="C79" s="5"/>
      <c r="D79" s="39"/>
      <c r="E79" s="40"/>
      <c r="F79" s="39"/>
      <c r="G79" s="4"/>
      <c r="H79" s="5"/>
      <c r="I79" s="3"/>
      <c r="J79" s="3"/>
      <c r="K79" s="3"/>
      <c r="L79" s="3" t="str">
        <f>IFERROR(VLOOKUP(tblSOW7[[#This Row],[Employee name ]],[29]Parameters!CP:CS,4,0),"")</f>
        <v/>
      </c>
      <c r="M79" s="45"/>
      <c r="N79" s="5"/>
      <c r="O79" s="3"/>
      <c r="P79" s="8"/>
      <c r="Q79" s="8"/>
      <c r="R79" s="5"/>
      <c r="S79" s="5"/>
      <c r="T79" s="3"/>
      <c r="U79" s="3"/>
      <c r="V79" s="5"/>
      <c r="W79" s="5"/>
      <c r="X79" s="5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</row>
    <row r="80" spans="1:75" s="36" customFormat="1" ht="16.5" customHeight="1">
      <c r="A80" s="5"/>
      <c r="B80" s="5"/>
      <c r="C80" s="5"/>
      <c r="D80" s="39"/>
      <c r="E80" s="40"/>
      <c r="F80" s="39"/>
      <c r="G80" s="4"/>
      <c r="H80" s="5"/>
      <c r="I80" s="3"/>
      <c r="J80" s="3"/>
      <c r="K80" s="3"/>
      <c r="L80" s="3" t="str">
        <f>IFERROR(VLOOKUP(tblSOW7[[#This Row],[Employee name ]],[29]Parameters!CP:CS,4,0),"")</f>
        <v/>
      </c>
      <c r="M80" s="45"/>
      <c r="N80" s="5"/>
      <c r="O80" s="3"/>
      <c r="P80" s="8"/>
      <c r="Q80" s="8"/>
      <c r="R80" s="5"/>
      <c r="S80" s="5"/>
      <c r="T80" s="3"/>
      <c r="U80" s="3"/>
      <c r="V80" s="5"/>
      <c r="W80" s="5"/>
      <c r="X80" s="5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</row>
    <row r="81" spans="1:75" s="36" customFormat="1" ht="16.5" customHeight="1">
      <c r="A81" s="5"/>
      <c r="B81" s="5"/>
      <c r="C81" s="5"/>
      <c r="D81" s="39"/>
      <c r="E81" s="40"/>
      <c r="F81" s="39"/>
      <c r="G81" s="4"/>
      <c r="H81" s="5"/>
      <c r="I81" s="3"/>
      <c r="J81" s="3"/>
      <c r="K81" s="3"/>
      <c r="L81" s="3" t="str">
        <f>IFERROR(VLOOKUP(tblSOW7[[#This Row],[Employee name ]],[29]Parameters!CP:CS,4,0),"")</f>
        <v/>
      </c>
      <c r="M81" s="45"/>
      <c r="N81" s="5"/>
      <c r="O81" s="3"/>
      <c r="P81" s="8"/>
      <c r="Q81" s="8"/>
      <c r="R81" s="5"/>
      <c r="S81" s="5"/>
      <c r="T81" s="3"/>
      <c r="U81" s="3"/>
      <c r="V81" s="5"/>
      <c r="W81" s="5"/>
      <c r="X81" s="5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</row>
    <row r="82" spans="1:75" s="36" customFormat="1" ht="16.5" customHeight="1">
      <c r="A82" s="5"/>
      <c r="B82" s="5"/>
      <c r="C82" s="5"/>
      <c r="D82" s="39"/>
      <c r="E82" s="40"/>
      <c r="F82" s="39"/>
      <c r="G82" s="4"/>
      <c r="H82" s="5"/>
      <c r="I82" s="3"/>
      <c r="J82" s="3"/>
      <c r="K82" s="3"/>
      <c r="L82" s="3" t="str">
        <f>IFERROR(VLOOKUP(tblSOW7[[#This Row],[Employee name ]],[29]Parameters!CP:CS,4,0),"")</f>
        <v/>
      </c>
      <c r="M82" s="45"/>
      <c r="N82" s="5"/>
      <c r="O82" s="3"/>
      <c r="P82" s="8"/>
      <c r="Q82" s="8"/>
      <c r="R82" s="5"/>
      <c r="S82" s="5"/>
      <c r="T82" s="3"/>
      <c r="U82" s="3"/>
      <c r="V82" s="5"/>
      <c r="W82" s="5"/>
      <c r="X82" s="5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</row>
    <row r="83" spans="1:75" s="36" customFormat="1" ht="16.5" customHeight="1">
      <c r="A83" s="5"/>
      <c r="B83" s="5"/>
      <c r="C83" s="5"/>
      <c r="D83" s="39"/>
      <c r="E83" s="40"/>
      <c r="F83" s="39"/>
      <c r="G83" s="4"/>
      <c r="H83" s="5"/>
      <c r="I83" s="3"/>
      <c r="J83" s="3"/>
      <c r="K83" s="3"/>
      <c r="L83" s="3" t="str">
        <f>IFERROR(VLOOKUP(tblSOW7[[#This Row],[Employee name ]],[29]Parameters!CP:CS,4,0),"")</f>
        <v/>
      </c>
      <c r="M83" s="45"/>
      <c r="N83" s="5"/>
      <c r="O83" s="3"/>
      <c r="P83" s="8"/>
      <c r="Q83" s="8"/>
      <c r="R83" s="5"/>
      <c r="S83" s="5"/>
      <c r="T83" s="3"/>
      <c r="U83" s="3"/>
      <c r="V83" s="5"/>
      <c r="W83" s="5"/>
      <c r="X83" s="5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</row>
    <row r="84" spans="1:75" s="36" customFormat="1" ht="16.5" customHeight="1">
      <c r="A84" s="5"/>
      <c r="B84" s="5"/>
      <c r="C84" s="5"/>
      <c r="D84" s="39"/>
      <c r="E84" s="40"/>
      <c r="F84" s="39"/>
      <c r="G84" s="4"/>
      <c r="H84" s="5"/>
      <c r="I84" s="3"/>
      <c r="J84" s="3"/>
      <c r="K84" s="3"/>
      <c r="L84" s="3" t="str">
        <f>IFERROR(VLOOKUP(tblSOW7[[#This Row],[Employee name ]],[29]Parameters!CP:CS,4,0),"")</f>
        <v/>
      </c>
      <c r="M84" s="45"/>
      <c r="N84" s="5"/>
      <c r="O84" s="3"/>
      <c r="P84" s="8"/>
      <c r="Q84" s="8"/>
      <c r="R84" s="5"/>
      <c r="S84" s="5"/>
      <c r="T84" s="3"/>
      <c r="U84" s="3"/>
      <c r="V84" s="5"/>
      <c r="W84" s="5"/>
      <c r="X84" s="5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</row>
    <row r="85" spans="1:75" s="36" customFormat="1" ht="16.5" customHeight="1">
      <c r="A85" s="5"/>
      <c r="B85" s="5"/>
      <c r="C85" s="5"/>
      <c r="D85" s="39"/>
      <c r="E85" s="40"/>
      <c r="F85" s="39"/>
      <c r="G85" s="4"/>
      <c r="H85" s="5"/>
      <c r="I85" s="3"/>
      <c r="J85" s="3"/>
      <c r="K85" s="3"/>
      <c r="L85" s="3" t="str">
        <f>IFERROR(VLOOKUP(tblSOW7[[#This Row],[Employee name ]],[29]Parameters!CP:CS,4,0),"")</f>
        <v/>
      </c>
      <c r="M85" s="45"/>
      <c r="N85" s="5"/>
      <c r="O85" s="3"/>
      <c r="P85" s="8"/>
      <c r="Q85" s="8"/>
      <c r="R85" s="5"/>
      <c r="S85" s="5"/>
      <c r="T85" s="3"/>
      <c r="U85" s="3"/>
      <c r="V85" s="5"/>
      <c r="W85" s="5"/>
      <c r="X85" s="5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</row>
    <row r="86" spans="1:75" s="36" customFormat="1" ht="16.5" customHeight="1">
      <c r="A86" s="5"/>
      <c r="B86" s="5"/>
      <c r="C86" s="5"/>
      <c r="D86" s="39"/>
      <c r="E86" s="40"/>
      <c r="F86" s="39"/>
      <c r="G86" s="4"/>
      <c r="H86" s="5"/>
      <c r="I86" s="3"/>
      <c r="J86" s="3"/>
      <c r="K86" s="3"/>
      <c r="L86" s="3" t="str">
        <f>IFERROR(VLOOKUP(tblSOW7[[#This Row],[Employee name ]],[29]Parameters!CP:CS,4,0),"")</f>
        <v/>
      </c>
      <c r="M86" s="45"/>
      <c r="N86" s="5"/>
      <c r="O86" s="3"/>
      <c r="P86" s="8"/>
      <c r="Q86" s="8"/>
      <c r="R86" s="5"/>
      <c r="S86" s="5"/>
      <c r="T86" s="3"/>
      <c r="U86" s="3"/>
      <c r="V86" s="5"/>
      <c r="W86" s="5"/>
      <c r="X86" s="5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</row>
    <row r="87" spans="1:75" s="36" customFormat="1" ht="16.5" customHeight="1">
      <c r="A87" s="5"/>
      <c r="B87" s="5"/>
      <c r="C87" s="5"/>
      <c r="D87" s="39"/>
      <c r="E87" s="40"/>
      <c r="F87" s="39"/>
      <c r="G87" s="4"/>
      <c r="H87" s="5"/>
      <c r="I87" s="3"/>
      <c r="J87" s="3"/>
      <c r="K87" s="3"/>
      <c r="L87" s="3" t="str">
        <f>IFERROR(VLOOKUP(tblSOW7[[#This Row],[Employee name ]],[29]Parameters!CP:CS,4,0),"")</f>
        <v/>
      </c>
      <c r="M87" s="45"/>
      <c r="N87" s="5"/>
      <c r="O87" s="3"/>
      <c r="P87" s="8"/>
      <c r="Q87" s="8"/>
      <c r="R87" s="5"/>
      <c r="S87" s="5"/>
      <c r="T87" s="3"/>
      <c r="U87" s="3"/>
      <c r="V87" s="5"/>
      <c r="W87" s="5"/>
      <c r="X87" s="5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</row>
    <row r="88" spans="1:75" s="36" customFormat="1" ht="16.5" customHeight="1">
      <c r="A88" s="5"/>
      <c r="B88" s="5"/>
      <c r="C88" s="5"/>
      <c r="D88" s="39"/>
      <c r="E88" s="40"/>
      <c r="F88" s="39"/>
      <c r="G88" s="4"/>
      <c r="H88" s="5"/>
      <c r="I88" s="3"/>
      <c r="J88" s="3"/>
      <c r="K88" s="3"/>
      <c r="L88" s="3" t="str">
        <f>IFERROR(VLOOKUP(tblSOW7[[#This Row],[Employee name ]],[29]Parameters!CP:CS,4,0),"")</f>
        <v/>
      </c>
      <c r="M88" s="45"/>
      <c r="N88" s="5"/>
      <c r="O88" s="3"/>
      <c r="P88" s="8"/>
      <c r="Q88" s="8"/>
      <c r="R88" s="5"/>
      <c r="S88" s="5"/>
      <c r="T88" s="3"/>
      <c r="U88" s="3"/>
      <c r="V88" s="5"/>
      <c r="W88" s="5"/>
      <c r="X88" s="5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</row>
    <row r="89" spans="1:75" s="36" customFormat="1" ht="16.5" customHeight="1">
      <c r="A89" s="5"/>
      <c r="B89" s="5"/>
      <c r="C89" s="5"/>
      <c r="D89" s="39"/>
      <c r="E89" s="40"/>
      <c r="F89" s="39"/>
      <c r="G89" s="4"/>
      <c r="H89" s="5"/>
      <c r="I89" s="3"/>
      <c r="J89" s="3"/>
      <c r="K89" s="3"/>
      <c r="L89" s="3" t="str">
        <f>IFERROR(VLOOKUP(tblSOW7[[#This Row],[Employee name ]],[29]Parameters!CP:CS,4,0),"")</f>
        <v/>
      </c>
      <c r="M89" s="45"/>
      <c r="N89" s="5"/>
      <c r="O89" s="3"/>
      <c r="P89" s="8"/>
      <c r="Q89" s="8"/>
      <c r="R89" s="5"/>
      <c r="S89" s="5"/>
      <c r="T89" s="3"/>
      <c r="U89" s="3"/>
      <c r="V89" s="5"/>
      <c r="W89" s="5"/>
      <c r="X89" s="5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</row>
    <row r="90" spans="1:75" s="36" customFormat="1" ht="16.5" customHeight="1">
      <c r="A90" s="5"/>
      <c r="B90" s="5"/>
      <c r="C90" s="5"/>
      <c r="D90" s="39"/>
      <c r="E90" s="40"/>
      <c r="F90" s="39"/>
      <c r="G90" s="4"/>
      <c r="H90" s="5"/>
      <c r="I90" s="3"/>
      <c r="J90" s="3"/>
      <c r="K90" s="3"/>
      <c r="L90" s="3" t="str">
        <f>IFERROR(VLOOKUP(tblSOW7[[#This Row],[Employee name ]],[29]Parameters!CP:CS,4,0),"")</f>
        <v/>
      </c>
      <c r="M90" s="45"/>
      <c r="N90" s="5"/>
      <c r="O90" s="3"/>
      <c r="P90" s="8"/>
      <c r="Q90" s="8"/>
      <c r="R90" s="5"/>
      <c r="S90" s="5"/>
      <c r="T90" s="3"/>
      <c r="U90" s="3"/>
      <c r="V90" s="5"/>
      <c r="W90" s="5"/>
      <c r="X90" s="5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</row>
    <row r="91" spans="1:75" s="36" customFormat="1" ht="16.5" customHeight="1">
      <c r="A91" s="5"/>
      <c r="B91" s="5"/>
      <c r="C91" s="5"/>
      <c r="D91" s="39"/>
      <c r="E91" s="40"/>
      <c r="F91" s="39"/>
      <c r="G91" s="4"/>
      <c r="H91" s="5"/>
      <c r="I91" s="3"/>
      <c r="J91" s="3"/>
      <c r="K91" s="3"/>
      <c r="L91" s="3" t="str">
        <f>IFERROR(VLOOKUP(tblSOW7[[#This Row],[Employee name ]],[29]Parameters!CP:CS,4,0),"")</f>
        <v/>
      </c>
      <c r="M91" s="45"/>
      <c r="N91" s="5"/>
      <c r="O91" s="3"/>
      <c r="P91" s="8"/>
      <c r="Q91" s="8"/>
      <c r="R91" s="5"/>
      <c r="S91" s="5"/>
      <c r="T91" s="3"/>
      <c r="U91" s="3"/>
      <c r="V91" s="5"/>
      <c r="W91" s="5"/>
      <c r="X91" s="5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</row>
    <row r="92" spans="1:75" s="36" customFormat="1" ht="16.5" customHeight="1">
      <c r="A92" s="5"/>
      <c r="B92" s="5"/>
      <c r="C92" s="5"/>
      <c r="D92" s="39"/>
      <c r="E92" s="40"/>
      <c r="F92" s="39"/>
      <c r="G92" s="4"/>
      <c r="H92" s="5"/>
      <c r="I92" s="3"/>
      <c r="J92" s="3"/>
      <c r="K92" s="3"/>
      <c r="L92" s="3" t="str">
        <f>IFERROR(VLOOKUP(tblSOW7[[#This Row],[Employee name ]],[29]Parameters!CP:CS,4,0),"")</f>
        <v/>
      </c>
      <c r="M92" s="45"/>
      <c r="N92" s="5"/>
      <c r="O92" s="3"/>
      <c r="P92" s="8"/>
      <c r="Q92" s="8"/>
      <c r="R92" s="5"/>
      <c r="S92" s="5"/>
      <c r="T92" s="3"/>
      <c r="U92" s="3"/>
      <c r="V92" s="5"/>
      <c r="W92" s="5"/>
      <c r="X92" s="5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</row>
    <row r="93" spans="1:75" s="36" customFormat="1" ht="16.5" customHeight="1">
      <c r="A93" s="5"/>
      <c r="B93" s="5"/>
      <c r="C93" s="5"/>
      <c r="D93" s="39"/>
      <c r="E93" s="40"/>
      <c r="F93" s="39"/>
      <c r="G93" s="4"/>
      <c r="H93" s="5"/>
      <c r="I93" s="3"/>
      <c r="J93" s="3"/>
      <c r="K93" s="3"/>
      <c r="L93" s="3" t="str">
        <f>IFERROR(VLOOKUP(tblSOW7[[#This Row],[Employee name ]],[29]Parameters!CP:CS,4,0),"")</f>
        <v/>
      </c>
      <c r="M93" s="45"/>
      <c r="N93" s="5"/>
      <c r="O93" s="3"/>
      <c r="P93" s="8"/>
      <c r="Q93" s="8"/>
      <c r="R93" s="5"/>
      <c r="S93" s="5"/>
      <c r="T93" s="3"/>
      <c r="U93" s="3"/>
      <c r="V93" s="5"/>
      <c r="W93" s="5"/>
      <c r="X93" s="5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</row>
    <row r="94" spans="1:75" s="36" customFormat="1" ht="16.5" customHeight="1">
      <c r="A94" s="5"/>
      <c r="B94" s="5"/>
      <c r="C94" s="5"/>
      <c r="D94" s="39"/>
      <c r="E94" s="40"/>
      <c r="F94" s="39"/>
      <c r="G94" s="4"/>
      <c r="H94" s="5"/>
      <c r="I94" s="3"/>
      <c r="J94" s="3"/>
      <c r="K94" s="3"/>
      <c r="L94" s="3" t="str">
        <f>IFERROR(VLOOKUP(tblSOW7[[#This Row],[Employee name ]],[29]Parameters!CP:CS,4,0),"")</f>
        <v/>
      </c>
      <c r="M94" s="45"/>
      <c r="N94" s="5"/>
      <c r="O94" s="3"/>
      <c r="P94" s="8"/>
      <c r="Q94" s="8"/>
      <c r="R94" s="5"/>
      <c r="S94" s="5"/>
      <c r="T94" s="3"/>
      <c r="U94" s="3"/>
      <c r="V94" s="5"/>
      <c r="W94" s="5"/>
      <c r="X94" s="5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</row>
    <row r="95" spans="1:75" s="36" customFormat="1" ht="16.5" customHeight="1">
      <c r="A95" s="5"/>
      <c r="B95" s="5"/>
      <c r="C95" s="5"/>
      <c r="D95" s="39"/>
      <c r="E95" s="40"/>
      <c r="F95" s="39"/>
      <c r="G95" s="4"/>
      <c r="H95" s="5"/>
      <c r="I95" s="3"/>
      <c r="J95" s="3"/>
      <c r="K95" s="3"/>
      <c r="L95" s="3" t="str">
        <f>IFERROR(VLOOKUP(tblSOW7[[#This Row],[Employee name ]],[29]Parameters!CP:CS,4,0),"")</f>
        <v/>
      </c>
      <c r="M95" s="45"/>
      <c r="N95" s="5"/>
      <c r="O95" s="3"/>
      <c r="P95" s="8"/>
      <c r="Q95" s="8"/>
      <c r="R95" s="5"/>
      <c r="S95" s="5"/>
      <c r="T95" s="3"/>
      <c r="U95" s="3"/>
      <c r="V95" s="5"/>
      <c r="W95" s="5"/>
      <c r="X95" s="5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</row>
    <row r="96" spans="1:75" s="36" customFormat="1" ht="16.5" customHeight="1">
      <c r="A96" s="5"/>
      <c r="B96" s="5"/>
      <c r="C96" s="5"/>
      <c r="D96" s="39"/>
      <c r="E96" s="40"/>
      <c r="F96" s="39"/>
      <c r="G96" s="4"/>
      <c r="H96" s="5"/>
      <c r="I96" s="3"/>
      <c r="J96" s="3"/>
      <c r="K96" s="3"/>
      <c r="L96" s="3" t="str">
        <f>IFERROR(VLOOKUP(tblSOW7[[#This Row],[Employee name ]],[29]Parameters!CP:CS,4,0),"")</f>
        <v/>
      </c>
      <c r="M96" s="45"/>
      <c r="N96" s="5"/>
      <c r="O96" s="3"/>
      <c r="P96" s="8"/>
      <c r="Q96" s="8"/>
      <c r="R96" s="5"/>
      <c r="S96" s="5"/>
      <c r="T96" s="3"/>
      <c r="U96" s="3"/>
      <c r="V96" s="5"/>
      <c r="W96" s="5"/>
      <c r="X96" s="5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</row>
    <row r="97" spans="1:75" s="36" customFormat="1" ht="16.5" customHeight="1">
      <c r="A97" s="5"/>
      <c r="B97" s="5"/>
      <c r="C97" s="5"/>
      <c r="D97" s="39"/>
      <c r="E97" s="40"/>
      <c r="F97" s="39"/>
      <c r="G97" s="4"/>
      <c r="H97" s="5"/>
      <c r="I97" s="3"/>
      <c r="J97" s="3"/>
      <c r="K97" s="3"/>
      <c r="L97" s="3" t="str">
        <f>IFERROR(VLOOKUP(tblSOW7[[#This Row],[Employee name ]],[29]Parameters!CP:CS,4,0),"")</f>
        <v/>
      </c>
      <c r="M97" s="45"/>
      <c r="N97" s="5"/>
      <c r="O97" s="3"/>
      <c r="P97" s="8"/>
      <c r="Q97" s="8"/>
      <c r="R97" s="5"/>
      <c r="S97" s="5"/>
      <c r="T97" s="3"/>
      <c r="U97" s="3"/>
      <c r="V97" s="5"/>
      <c r="W97" s="5"/>
      <c r="X97" s="5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</row>
    <row r="98" spans="1:75" s="36" customFormat="1" ht="16.5" customHeight="1">
      <c r="A98" s="5"/>
      <c r="B98" s="5"/>
      <c r="C98" s="5"/>
      <c r="D98" s="39"/>
      <c r="E98" s="40"/>
      <c r="F98" s="39"/>
      <c r="G98" s="4"/>
      <c r="H98" s="5"/>
      <c r="I98" s="3"/>
      <c r="J98" s="3"/>
      <c r="K98" s="3"/>
      <c r="L98" s="3" t="str">
        <f>IFERROR(VLOOKUP(tblSOW7[[#This Row],[Employee name ]],[29]Parameters!CP:CS,4,0),"")</f>
        <v/>
      </c>
      <c r="M98" s="45"/>
      <c r="N98" s="5"/>
      <c r="O98" s="3"/>
      <c r="P98" s="8"/>
      <c r="Q98" s="8"/>
      <c r="R98" s="5"/>
      <c r="S98" s="5"/>
      <c r="T98" s="3"/>
      <c r="U98" s="3"/>
      <c r="V98" s="5"/>
      <c r="W98" s="5"/>
      <c r="X98" s="5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</row>
    <row r="99" spans="1:75" s="36" customFormat="1" ht="16.5" customHeight="1">
      <c r="A99" s="5"/>
      <c r="B99" s="5"/>
      <c r="C99" s="5"/>
      <c r="D99" s="39"/>
      <c r="E99" s="40"/>
      <c r="F99" s="39"/>
      <c r="G99" s="4"/>
      <c r="H99" s="5"/>
      <c r="I99" s="3"/>
      <c r="J99" s="3"/>
      <c r="K99" s="3"/>
      <c r="L99" s="3" t="str">
        <f>IFERROR(VLOOKUP(tblSOW7[[#This Row],[Employee name ]],[29]Parameters!CP:CS,4,0),"")</f>
        <v/>
      </c>
      <c r="M99" s="45"/>
      <c r="N99" s="5"/>
      <c r="O99" s="3"/>
      <c r="P99" s="8"/>
      <c r="Q99" s="8"/>
      <c r="R99" s="5"/>
      <c r="S99" s="5"/>
      <c r="T99" s="3"/>
      <c r="U99" s="3"/>
      <c r="V99" s="5"/>
      <c r="W99" s="5"/>
      <c r="X99" s="5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</row>
    <row r="100" spans="1:75" s="36" customFormat="1" ht="16.5" customHeight="1">
      <c r="A100" s="5"/>
      <c r="B100" s="5"/>
      <c r="C100" s="5"/>
      <c r="D100" s="39"/>
      <c r="E100" s="40"/>
      <c r="F100" s="39"/>
      <c r="G100" s="4"/>
      <c r="H100" s="5"/>
      <c r="I100" s="3"/>
      <c r="J100" s="3"/>
      <c r="K100" s="3"/>
      <c r="L100" s="3" t="str">
        <f>IFERROR(VLOOKUP(tblSOW7[[#This Row],[Employee name ]],[29]Parameters!CP:CS,4,0),"")</f>
        <v/>
      </c>
      <c r="M100" s="45"/>
      <c r="N100" s="5"/>
      <c r="O100" s="3"/>
      <c r="P100" s="8"/>
      <c r="Q100" s="8"/>
      <c r="R100" s="5"/>
      <c r="S100" s="5"/>
      <c r="T100" s="3"/>
      <c r="U100" s="3"/>
      <c r="V100" s="5"/>
      <c r="W100" s="5"/>
      <c r="X100" s="5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</row>
    <row r="101" spans="1:75" s="36" customFormat="1" ht="16.5" customHeight="1">
      <c r="A101" s="5"/>
      <c r="B101" s="5"/>
      <c r="C101" s="5"/>
      <c r="D101" s="39"/>
      <c r="E101" s="40"/>
      <c r="F101" s="39"/>
      <c r="G101" s="4"/>
      <c r="H101" s="5"/>
      <c r="I101" s="3"/>
      <c r="J101" s="3"/>
      <c r="K101" s="3"/>
      <c r="L101" s="3" t="str">
        <f>IFERROR(VLOOKUP(tblSOW7[[#This Row],[Employee name ]],[29]Parameters!CP:CS,4,0),"")</f>
        <v/>
      </c>
      <c r="M101" s="45"/>
      <c r="N101" s="5"/>
      <c r="O101" s="3"/>
      <c r="P101" s="8"/>
      <c r="Q101" s="8"/>
      <c r="R101" s="5"/>
      <c r="S101" s="5"/>
      <c r="T101" s="3"/>
      <c r="U101" s="3"/>
      <c r="V101" s="5"/>
      <c r="W101" s="5"/>
      <c r="X101" s="5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</row>
    <row r="102" spans="1:75" s="36" customFormat="1" ht="16.5" customHeight="1">
      <c r="A102" s="5"/>
      <c r="B102" s="5"/>
      <c r="C102" s="5"/>
      <c r="D102" s="39"/>
      <c r="E102" s="40"/>
      <c r="F102" s="39"/>
      <c r="G102" s="4"/>
      <c r="H102" s="5"/>
      <c r="I102" s="3"/>
      <c r="J102" s="3"/>
      <c r="K102" s="3"/>
      <c r="L102" s="3" t="str">
        <f>IFERROR(VLOOKUP(tblSOW7[[#This Row],[Employee name ]],[29]Parameters!CP:CS,4,0),"")</f>
        <v/>
      </c>
      <c r="M102" s="45"/>
      <c r="N102" s="5"/>
      <c r="O102" s="3"/>
      <c r="P102" s="8"/>
      <c r="Q102" s="8"/>
      <c r="R102" s="5"/>
      <c r="S102" s="5"/>
      <c r="T102" s="3"/>
      <c r="U102" s="3"/>
      <c r="V102" s="5"/>
      <c r="W102" s="5"/>
      <c r="X102" s="5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</row>
    <row r="103" spans="1:75" s="36" customFormat="1" ht="16.5" customHeight="1">
      <c r="A103" s="5"/>
      <c r="B103" s="5"/>
      <c r="C103" s="5"/>
      <c r="D103" s="39"/>
      <c r="E103" s="40"/>
      <c r="F103" s="39"/>
      <c r="G103" s="4"/>
      <c r="H103" s="5"/>
      <c r="I103" s="3"/>
      <c r="J103" s="3"/>
      <c r="K103" s="3"/>
      <c r="L103" s="3" t="str">
        <f>IFERROR(VLOOKUP(tblSOW7[[#This Row],[Employee name ]],[29]Parameters!CP:CS,4,0),"")</f>
        <v/>
      </c>
      <c r="M103" s="45"/>
      <c r="N103" s="5"/>
      <c r="O103" s="3"/>
      <c r="P103" s="8"/>
      <c r="Q103" s="8"/>
      <c r="R103" s="5"/>
      <c r="S103" s="5"/>
      <c r="T103" s="3"/>
      <c r="U103" s="3"/>
      <c r="V103" s="5"/>
      <c r="W103" s="5"/>
      <c r="X103" s="5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</row>
    <row r="104" spans="1:75" s="36" customFormat="1" ht="16.5" customHeight="1">
      <c r="A104" s="5"/>
      <c r="B104" s="5"/>
      <c r="C104" s="5"/>
      <c r="D104" s="39"/>
      <c r="E104" s="40"/>
      <c r="F104" s="39"/>
      <c r="G104" s="4"/>
      <c r="H104" s="5"/>
      <c r="I104" s="3"/>
      <c r="J104" s="3"/>
      <c r="K104" s="3"/>
      <c r="L104" s="3" t="str">
        <f>IFERROR(VLOOKUP(tblSOW7[[#This Row],[Employee name ]],[29]Parameters!CP:CS,4,0),"")</f>
        <v/>
      </c>
      <c r="M104" s="45"/>
      <c r="N104" s="5"/>
      <c r="O104" s="3"/>
      <c r="P104" s="8"/>
      <c r="Q104" s="8"/>
      <c r="R104" s="5"/>
      <c r="S104" s="5"/>
      <c r="T104" s="3"/>
      <c r="U104" s="3"/>
      <c r="V104" s="5"/>
      <c r="W104" s="5"/>
      <c r="X104" s="5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</row>
    <row r="105" spans="1:75" s="36" customFormat="1" ht="16.5" customHeight="1">
      <c r="A105" s="5"/>
      <c r="B105" s="5"/>
      <c r="C105" s="5"/>
      <c r="D105" s="39"/>
      <c r="E105" s="40"/>
      <c r="F105" s="39"/>
      <c r="G105" s="4"/>
      <c r="H105" s="5"/>
      <c r="I105" s="3"/>
      <c r="J105" s="3"/>
      <c r="K105" s="3"/>
      <c r="L105" s="3" t="str">
        <f>IFERROR(VLOOKUP(tblSOW7[[#This Row],[Employee name ]],[29]Parameters!CP:CS,4,0),"")</f>
        <v/>
      </c>
      <c r="M105" s="45"/>
      <c r="N105" s="5"/>
      <c r="O105" s="3"/>
      <c r="P105" s="8"/>
      <c r="Q105" s="8"/>
      <c r="R105" s="5"/>
      <c r="S105" s="5"/>
      <c r="T105" s="3"/>
      <c r="U105" s="3"/>
      <c r="V105" s="5"/>
      <c r="W105" s="5"/>
      <c r="X105" s="5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</row>
    <row r="106" spans="1:75" s="36" customFormat="1" ht="16.5" customHeight="1">
      <c r="A106" s="5"/>
      <c r="B106" s="5"/>
      <c r="C106" s="5"/>
      <c r="D106" s="39"/>
      <c r="E106" s="40"/>
      <c r="F106" s="39"/>
      <c r="G106" s="4"/>
      <c r="H106" s="5"/>
      <c r="I106" s="3"/>
      <c r="J106" s="3"/>
      <c r="K106" s="3"/>
      <c r="L106" s="3" t="str">
        <f>IFERROR(VLOOKUP(tblSOW7[[#This Row],[Employee name ]],[29]Parameters!CP:CS,4,0),"")</f>
        <v/>
      </c>
      <c r="M106" s="45"/>
      <c r="N106" s="5"/>
      <c r="O106" s="3"/>
      <c r="P106" s="8"/>
      <c r="Q106" s="8"/>
      <c r="R106" s="5"/>
      <c r="S106" s="5"/>
      <c r="T106" s="3"/>
      <c r="U106" s="3"/>
      <c r="V106" s="5"/>
      <c r="W106" s="5"/>
      <c r="X106" s="5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</row>
    <row r="107" spans="1:75" s="36" customFormat="1" ht="16.5" customHeight="1">
      <c r="A107" s="5"/>
      <c r="B107" s="5"/>
      <c r="C107" s="5"/>
      <c r="D107" s="39"/>
      <c r="E107" s="40"/>
      <c r="F107" s="39"/>
      <c r="G107" s="4"/>
      <c r="H107" s="5"/>
      <c r="I107" s="3"/>
      <c r="J107" s="3"/>
      <c r="K107" s="3"/>
      <c r="L107" s="3" t="str">
        <f>IFERROR(VLOOKUP(tblSOW7[[#This Row],[Employee name ]],[29]Parameters!CP:CS,4,0),"")</f>
        <v/>
      </c>
      <c r="M107" s="45"/>
      <c r="N107" s="5"/>
      <c r="O107" s="3"/>
      <c r="P107" s="8"/>
      <c r="Q107" s="8"/>
      <c r="R107" s="5"/>
      <c r="S107" s="5"/>
      <c r="T107" s="3"/>
      <c r="U107" s="3"/>
      <c r="V107" s="5"/>
      <c r="W107" s="5"/>
      <c r="X107" s="5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</row>
    <row r="108" spans="1:75" s="36" customFormat="1" ht="16.5" customHeight="1">
      <c r="A108" s="5"/>
      <c r="B108" s="5"/>
      <c r="C108" s="5"/>
      <c r="D108" s="39"/>
      <c r="E108" s="40"/>
      <c r="F108" s="39"/>
      <c r="G108" s="4"/>
      <c r="H108" s="5"/>
      <c r="I108" s="3"/>
      <c r="J108" s="3"/>
      <c r="K108" s="3"/>
      <c r="L108" s="3" t="str">
        <f>IFERROR(VLOOKUP(tblSOW7[[#This Row],[Employee name ]],[29]Parameters!CP:CS,4,0),"")</f>
        <v/>
      </c>
      <c r="M108" s="45"/>
      <c r="N108" s="5"/>
      <c r="O108" s="3"/>
      <c r="P108" s="8"/>
      <c r="Q108" s="8"/>
      <c r="R108" s="5"/>
      <c r="S108" s="5"/>
      <c r="T108" s="3"/>
      <c r="U108" s="3"/>
      <c r="V108" s="5"/>
      <c r="W108" s="5"/>
      <c r="X108" s="5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</row>
    <row r="109" spans="1:75" s="36" customFormat="1" ht="16.5" customHeight="1">
      <c r="A109" s="5"/>
      <c r="B109" s="5"/>
      <c r="C109" s="5"/>
      <c r="D109" s="39"/>
      <c r="E109" s="40"/>
      <c r="F109" s="39"/>
      <c r="G109" s="4"/>
      <c r="H109" s="5"/>
      <c r="I109" s="3"/>
      <c r="J109" s="3"/>
      <c r="K109" s="3"/>
      <c r="L109" s="3" t="str">
        <f>IFERROR(VLOOKUP(tblSOW7[[#This Row],[Employee name ]],[29]Parameters!CP:CS,4,0),"")</f>
        <v/>
      </c>
      <c r="M109" s="45"/>
      <c r="N109" s="5"/>
      <c r="O109" s="3"/>
      <c r="P109" s="8"/>
      <c r="Q109" s="8"/>
      <c r="R109" s="5"/>
      <c r="S109" s="5"/>
      <c r="T109" s="3"/>
      <c r="U109" s="3"/>
      <c r="V109" s="5"/>
      <c r="W109" s="5"/>
      <c r="X109" s="5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</row>
    <row r="110" spans="1:75" s="36" customFormat="1" ht="16.5" customHeight="1">
      <c r="A110" s="5"/>
      <c r="B110" s="5"/>
      <c r="C110" s="5"/>
      <c r="D110" s="39"/>
      <c r="E110" s="40"/>
      <c r="F110" s="39"/>
      <c r="G110" s="4"/>
      <c r="H110" s="5"/>
      <c r="I110" s="3"/>
      <c r="J110" s="3"/>
      <c r="K110" s="3"/>
      <c r="L110" s="3" t="str">
        <f>IFERROR(VLOOKUP(tblSOW7[[#This Row],[Employee name ]],[29]Parameters!CP:CS,4,0),"")</f>
        <v/>
      </c>
      <c r="M110" s="45"/>
      <c r="N110" s="5"/>
      <c r="O110" s="3"/>
      <c r="P110" s="8"/>
      <c r="Q110" s="8"/>
      <c r="R110" s="5"/>
      <c r="S110" s="5"/>
      <c r="T110" s="3"/>
      <c r="U110" s="3"/>
      <c r="V110" s="5"/>
      <c r="W110" s="5"/>
      <c r="X110" s="5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</row>
    <row r="111" spans="1:75" s="36" customFormat="1" ht="16.5" customHeight="1">
      <c r="A111" s="5"/>
      <c r="B111" s="5"/>
      <c r="C111" s="5"/>
      <c r="D111" s="39"/>
      <c r="E111" s="40"/>
      <c r="F111" s="39"/>
      <c r="G111" s="4"/>
      <c r="H111" s="5"/>
      <c r="I111" s="3"/>
      <c r="J111" s="3"/>
      <c r="K111" s="3"/>
      <c r="L111" s="3" t="str">
        <f>IFERROR(VLOOKUP(tblSOW7[[#This Row],[Employee name ]],[29]Parameters!CP:CS,4,0),"")</f>
        <v/>
      </c>
      <c r="M111" s="45"/>
      <c r="N111" s="5"/>
      <c r="O111" s="3"/>
      <c r="P111" s="8"/>
      <c r="Q111" s="8"/>
      <c r="R111" s="5"/>
      <c r="S111" s="5"/>
      <c r="T111" s="3"/>
      <c r="U111" s="3"/>
      <c r="V111" s="5"/>
      <c r="W111" s="5"/>
      <c r="X111" s="5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</row>
    <row r="112" spans="1:75" s="36" customFormat="1" ht="16.5" customHeight="1">
      <c r="A112" s="5"/>
      <c r="B112" s="5"/>
      <c r="C112" s="5"/>
      <c r="D112" s="39"/>
      <c r="E112" s="40"/>
      <c r="F112" s="39"/>
      <c r="G112" s="4"/>
      <c r="H112" s="5"/>
      <c r="I112" s="3"/>
      <c r="J112" s="3"/>
      <c r="K112" s="3"/>
      <c r="L112" s="3" t="str">
        <f>IFERROR(VLOOKUP(tblSOW7[[#This Row],[Employee name ]],[29]Parameters!CP:CS,4,0),"")</f>
        <v/>
      </c>
      <c r="M112" s="45"/>
      <c r="N112" s="5"/>
      <c r="O112" s="3"/>
      <c r="P112" s="8"/>
      <c r="Q112" s="8"/>
      <c r="R112" s="5"/>
      <c r="S112" s="5"/>
      <c r="T112" s="3"/>
      <c r="U112" s="3"/>
      <c r="V112" s="5"/>
      <c r="W112" s="5"/>
      <c r="X112" s="5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</row>
    <row r="113" spans="1:75" s="36" customFormat="1" ht="16.5" customHeight="1">
      <c r="A113" s="5"/>
      <c r="B113" s="5"/>
      <c r="C113" s="5"/>
      <c r="D113" s="39"/>
      <c r="E113" s="40"/>
      <c r="F113" s="39"/>
      <c r="G113" s="4"/>
      <c r="H113" s="5"/>
      <c r="I113" s="3"/>
      <c r="J113" s="3"/>
      <c r="K113" s="3"/>
      <c r="L113" s="3" t="str">
        <f>IFERROR(VLOOKUP(tblSOW7[[#This Row],[Employee name ]],[29]Parameters!CP:CS,4,0),"")</f>
        <v/>
      </c>
      <c r="M113" s="45"/>
      <c r="N113" s="5"/>
      <c r="O113" s="3"/>
      <c r="P113" s="8"/>
      <c r="Q113" s="8"/>
      <c r="R113" s="5"/>
      <c r="S113" s="5"/>
      <c r="T113" s="3"/>
      <c r="U113" s="3"/>
      <c r="V113" s="5"/>
      <c r="W113" s="5"/>
      <c r="X113" s="5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</row>
    <row r="114" spans="1:75" s="36" customFormat="1" ht="16.5" customHeight="1">
      <c r="A114" s="5"/>
      <c r="B114" s="5"/>
      <c r="C114" s="5"/>
      <c r="D114" s="39"/>
      <c r="E114" s="40"/>
      <c r="F114" s="39"/>
      <c r="G114" s="4"/>
      <c r="H114" s="5"/>
      <c r="I114" s="3"/>
      <c r="J114" s="3"/>
      <c r="K114" s="3"/>
      <c r="L114" s="3" t="str">
        <f>IFERROR(VLOOKUP(tblSOW7[[#This Row],[Employee name ]],[29]Parameters!CP:CS,4,0),"")</f>
        <v/>
      </c>
      <c r="M114" s="45"/>
      <c r="N114" s="5"/>
      <c r="O114" s="3"/>
      <c r="P114" s="8"/>
      <c r="Q114" s="8"/>
      <c r="R114" s="5"/>
      <c r="S114" s="5"/>
      <c r="T114" s="3"/>
      <c r="U114" s="3"/>
      <c r="V114" s="5"/>
      <c r="W114" s="5"/>
      <c r="X114" s="5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</row>
    <row r="115" spans="1:75" s="36" customFormat="1" ht="16.5" customHeight="1">
      <c r="A115" s="5"/>
      <c r="B115" s="5"/>
      <c r="C115" s="5"/>
      <c r="D115" s="39"/>
      <c r="E115" s="40"/>
      <c r="F115" s="39"/>
      <c r="G115" s="4"/>
      <c r="H115" s="5"/>
      <c r="I115" s="3"/>
      <c r="J115" s="3"/>
      <c r="K115" s="3"/>
      <c r="L115" s="3" t="str">
        <f>IFERROR(VLOOKUP(tblSOW7[[#This Row],[Employee name ]],[29]Parameters!CP:CS,4,0),"")</f>
        <v/>
      </c>
      <c r="M115" s="45"/>
      <c r="N115" s="5"/>
      <c r="O115" s="3"/>
      <c r="P115" s="8"/>
      <c r="Q115" s="8"/>
      <c r="R115" s="5"/>
      <c r="S115" s="5"/>
      <c r="T115" s="3"/>
      <c r="U115" s="3"/>
      <c r="V115" s="5"/>
      <c r="W115" s="5"/>
      <c r="X115" s="5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</row>
    <row r="116" spans="1:75" s="36" customFormat="1" ht="16.5" customHeight="1">
      <c r="A116" s="5"/>
      <c r="B116" s="5"/>
      <c r="C116" s="5"/>
      <c r="D116" s="39"/>
      <c r="E116" s="40"/>
      <c r="F116" s="39"/>
      <c r="G116" s="4"/>
      <c r="H116" s="5"/>
      <c r="I116" s="3"/>
      <c r="J116" s="3"/>
      <c r="K116" s="3"/>
      <c r="L116" s="3" t="str">
        <f>IFERROR(VLOOKUP(tblSOW7[[#This Row],[Employee name ]],[29]Parameters!CP:CS,4,0),"")</f>
        <v/>
      </c>
      <c r="M116" s="45"/>
      <c r="N116" s="5"/>
      <c r="O116" s="3"/>
      <c r="P116" s="8"/>
      <c r="Q116" s="8"/>
      <c r="R116" s="5"/>
      <c r="S116" s="5"/>
      <c r="T116" s="3"/>
      <c r="U116" s="3"/>
      <c r="V116" s="5"/>
      <c r="W116" s="5"/>
      <c r="X116" s="5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</row>
    <row r="117" spans="1:75" s="36" customFormat="1" ht="16.5" customHeight="1">
      <c r="A117" s="5"/>
      <c r="B117" s="5"/>
      <c r="C117" s="5"/>
      <c r="D117" s="39"/>
      <c r="E117" s="40"/>
      <c r="F117" s="39"/>
      <c r="G117" s="4"/>
      <c r="H117" s="5"/>
      <c r="I117" s="3"/>
      <c r="J117" s="3"/>
      <c r="K117" s="3"/>
      <c r="L117" s="3" t="str">
        <f>IFERROR(VLOOKUP(tblSOW7[[#This Row],[Employee name ]],[29]Parameters!CP:CS,4,0),"")</f>
        <v/>
      </c>
      <c r="M117" s="45"/>
      <c r="N117" s="5"/>
      <c r="O117" s="3"/>
      <c r="P117" s="8"/>
      <c r="Q117" s="8"/>
      <c r="R117" s="5"/>
      <c r="S117" s="5"/>
      <c r="T117" s="3"/>
      <c r="U117" s="3"/>
      <c r="V117" s="5"/>
      <c r="W117" s="5"/>
      <c r="X117" s="5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</row>
    <row r="118" spans="1:75" s="36" customFormat="1" ht="16.5" customHeight="1">
      <c r="A118" s="5"/>
      <c r="B118" s="5"/>
      <c r="C118" s="5"/>
      <c r="D118" s="39"/>
      <c r="E118" s="40"/>
      <c r="F118" s="39"/>
      <c r="G118" s="4"/>
      <c r="H118" s="5"/>
      <c r="I118" s="3"/>
      <c r="J118" s="3"/>
      <c r="K118" s="3"/>
      <c r="L118" s="3" t="str">
        <f>IFERROR(VLOOKUP(tblSOW7[[#This Row],[Employee name ]],[29]Parameters!CP:CS,4,0),"")</f>
        <v/>
      </c>
      <c r="M118" s="45"/>
      <c r="N118" s="5"/>
      <c r="O118" s="3"/>
      <c r="P118" s="8"/>
      <c r="Q118" s="8"/>
      <c r="R118" s="5"/>
      <c r="S118" s="5"/>
      <c r="T118" s="3"/>
      <c r="U118" s="3"/>
      <c r="V118" s="5"/>
      <c r="W118" s="5"/>
      <c r="X118" s="5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</row>
    <row r="119" spans="1:75" s="36" customFormat="1" ht="16.5" customHeight="1">
      <c r="A119" s="5"/>
      <c r="B119" s="5"/>
      <c r="C119" s="5"/>
      <c r="D119" s="39"/>
      <c r="E119" s="40"/>
      <c r="F119" s="39"/>
      <c r="G119" s="4"/>
      <c r="H119" s="5"/>
      <c r="I119" s="3"/>
      <c r="J119" s="3"/>
      <c r="K119" s="3"/>
      <c r="L119" s="3" t="str">
        <f>IFERROR(VLOOKUP(tblSOW7[[#This Row],[Employee name ]],[29]Parameters!CP:CS,4,0),"")</f>
        <v/>
      </c>
      <c r="M119" s="45"/>
      <c r="N119" s="5"/>
      <c r="O119" s="3"/>
      <c r="P119" s="8"/>
      <c r="Q119" s="8"/>
      <c r="R119" s="5"/>
      <c r="S119" s="5"/>
      <c r="T119" s="3"/>
      <c r="U119" s="3"/>
      <c r="V119" s="5"/>
      <c r="W119" s="5"/>
      <c r="X119" s="5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</row>
    <row r="120" spans="1:75" s="36" customFormat="1" ht="16.5" customHeight="1">
      <c r="A120" s="5"/>
      <c r="B120" s="5"/>
      <c r="C120" s="5"/>
      <c r="D120" s="39"/>
      <c r="E120" s="40"/>
      <c r="F120" s="39"/>
      <c r="G120" s="4"/>
      <c r="H120" s="5"/>
      <c r="I120" s="3"/>
      <c r="J120" s="3"/>
      <c r="K120" s="3"/>
      <c r="L120" s="3" t="str">
        <f>IFERROR(VLOOKUP(tblSOW7[[#This Row],[Employee name ]],[29]Parameters!CP:CS,4,0),"")</f>
        <v/>
      </c>
      <c r="M120" s="45"/>
      <c r="N120" s="5"/>
      <c r="O120" s="3"/>
      <c r="P120" s="8"/>
      <c r="Q120" s="8"/>
      <c r="R120" s="5"/>
      <c r="S120" s="5"/>
      <c r="T120" s="3"/>
      <c r="U120" s="3"/>
      <c r="V120" s="5"/>
      <c r="W120" s="5"/>
      <c r="X120" s="5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</row>
    <row r="121" spans="1:75" s="36" customFormat="1" ht="16.5" customHeight="1">
      <c r="A121" s="5"/>
      <c r="B121" s="5"/>
      <c r="C121" s="5"/>
      <c r="D121" s="39"/>
      <c r="E121" s="40"/>
      <c r="F121" s="39"/>
      <c r="G121" s="4"/>
      <c r="H121" s="5"/>
      <c r="I121" s="3"/>
      <c r="J121" s="3"/>
      <c r="K121" s="3"/>
      <c r="L121" s="3" t="str">
        <f>IFERROR(VLOOKUP(tblSOW7[[#This Row],[Employee name ]],[29]Parameters!CP:CS,4,0),"")</f>
        <v/>
      </c>
      <c r="M121" s="45"/>
      <c r="N121" s="5"/>
      <c r="O121" s="3"/>
      <c r="P121" s="8"/>
      <c r="Q121" s="8"/>
      <c r="R121" s="5"/>
      <c r="S121" s="5"/>
      <c r="T121" s="3"/>
      <c r="U121" s="3"/>
      <c r="V121" s="5"/>
      <c r="W121" s="5"/>
      <c r="X121" s="5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</row>
    <row r="122" spans="1:75" s="36" customFormat="1" ht="16.5" customHeight="1">
      <c r="A122" s="5"/>
      <c r="B122" s="5"/>
      <c r="C122" s="5"/>
      <c r="D122" s="39"/>
      <c r="E122" s="40"/>
      <c r="F122" s="39"/>
      <c r="G122" s="4"/>
      <c r="H122" s="5"/>
      <c r="I122" s="3"/>
      <c r="J122" s="3"/>
      <c r="K122" s="3"/>
      <c r="L122" s="3" t="str">
        <f>IFERROR(VLOOKUP(tblSOW7[[#This Row],[Employee name ]],[29]Parameters!CP:CS,4,0),"")</f>
        <v/>
      </c>
      <c r="M122" s="45"/>
      <c r="N122" s="5"/>
      <c r="O122" s="3"/>
      <c r="P122" s="8"/>
      <c r="Q122" s="8"/>
      <c r="R122" s="5"/>
      <c r="S122" s="5"/>
      <c r="T122" s="3"/>
      <c r="U122" s="3"/>
      <c r="V122" s="5"/>
      <c r="W122" s="5"/>
      <c r="X122" s="5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</row>
    <row r="123" spans="1:75" s="36" customFormat="1" ht="16.5" customHeight="1">
      <c r="A123" s="5"/>
      <c r="B123" s="5"/>
      <c r="C123" s="5"/>
      <c r="D123" s="39"/>
      <c r="E123" s="40"/>
      <c r="F123" s="39"/>
      <c r="G123" s="4"/>
      <c r="H123" s="5"/>
      <c r="I123" s="3"/>
      <c r="J123" s="3"/>
      <c r="K123" s="3"/>
      <c r="L123" s="3" t="str">
        <f>IFERROR(VLOOKUP(tblSOW7[[#This Row],[Employee name ]],[29]Parameters!CP:CS,4,0),"")</f>
        <v/>
      </c>
      <c r="M123" s="45"/>
      <c r="N123" s="5"/>
      <c r="O123" s="3"/>
      <c r="P123" s="8"/>
      <c r="Q123" s="8"/>
      <c r="R123" s="5"/>
      <c r="S123" s="5"/>
      <c r="T123" s="3"/>
      <c r="U123" s="3"/>
      <c r="V123" s="5"/>
      <c r="W123" s="5"/>
      <c r="X123" s="5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</row>
    <row r="124" spans="1:75" s="36" customFormat="1" ht="16.5" customHeight="1">
      <c r="A124" s="5"/>
      <c r="B124" s="5"/>
      <c r="C124" s="5"/>
      <c r="D124" s="39"/>
      <c r="E124" s="40"/>
      <c r="F124" s="39"/>
      <c r="G124" s="4"/>
      <c r="H124" s="5"/>
      <c r="I124" s="3"/>
      <c r="J124" s="3"/>
      <c r="K124" s="3"/>
      <c r="L124" s="3" t="str">
        <f>IFERROR(VLOOKUP(tblSOW7[[#This Row],[Employee name ]],[29]Parameters!CP:CS,4,0),"")</f>
        <v/>
      </c>
      <c r="M124" s="45"/>
      <c r="N124" s="5"/>
      <c r="O124" s="3"/>
      <c r="P124" s="8"/>
      <c r="Q124" s="8"/>
      <c r="R124" s="5"/>
      <c r="S124" s="5"/>
      <c r="T124" s="3"/>
      <c r="U124" s="3"/>
      <c r="V124" s="5"/>
      <c r="W124" s="5"/>
      <c r="X124" s="5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</row>
    <row r="125" spans="1:75" s="36" customFormat="1" ht="16.5" customHeight="1">
      <c r="A125" s="5"/>
      <c r="B125" s="5"/>
      <c r="C125" s="5"/>
      <c r="D125" s="39"/>
      <c r="E125" s="40"/>
      <c r="F125" s="39"/>
      <c r="G125" s="4"/>
      <c r="H125" s="5"/>
      <c r="I125" s="3"/>
      <c r="J125" s="3"/>
      <c r="K125" s="3"/>
      <c r="L125" s="3" t="str">
        <f>IFERROR(VLOOKUP(tblSOW7[[#This Row],[Employee name ]],[29]Parameters!CP:CS,4,0),"")</f>
        <v/>
      </c>
      <c r="M125" s="45"/>
      <c r="N125" s="5"/>
      <c r="O125" s="3"/>
      <c r="P125" s="8"/>
      <c r="Q125" s="8"/>
      <c r="R125" s="5"/>
      <c r="S125" s="5"/>
      <c r="T125" s="3"/>
      <c r="U125" s="3"/>
      <c r="V125" s="5"/>
      <c r="W125" s="5"/>
      <c r="X125" s="5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</row>
    <row r="126" spans="1:75" s="36" customFormat="1" ht="16.5" customHeight="1">
      <c r="A126" s="5"/>
      <c r="B126" s="5"/>
      <c r="C126" s="5"/>
      <c r="D126" s="39"/>
      <c r="E126" s="40"/>
      <c r="F126" s="39"/>
      <c r="G126" s="4"/>
      <c r="H126" s="5"/>
      <c r="I126" s="3"/>
      <c r="J126" s="3"/>
      <c r="K126" s="3"/>
      <c r="L126" s="3" t="str">
        <f>IFERROR(VLOOKUP(tblSOW7[[#This Row],[Employee name ]],[29]Parameters!CP:CS,4,0),"")</f>
        <v/>
      </c>
      <c r="M126" s="45"/>
      <c r="N126" s="5"/>
      <c r="O126" s="3"/>
      <c r="P126" s="8"/>
      <c r="Q126" s="8"/>
      <c r="R126" s="5"/>
      <c r="S126" s="5"/>
      <c r="T126" s="3"/>
      <c r="U126" s="3"/>
      <c r="V126" s="5"/>
      <c r="W126" s="5"/>
      <c r="X126" s="5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</row>
    <row r="127" spans="1:75" s="36" customFormat="1" ht="16.5" customHeight="1">
      <c r="A127" s="5"/>
      <c r="B127" s="5"/>
      <c r="C127" s="5"/>
      <c r="D127" s="39"/>
      <c r="E127" s="40"/>
      <c r="F127" s="39"/>
      <c r="G127" s="4"/>
      <c r="H127" s="5"/>
      <c r="I127" s="3"/>
      <c r="J127" s="3"/>
      <c r="K127" s="3"/>
      <c r="L127" s="3" t="str">
        <f>IFERROR(VLOOKUP(tblSOW7[[#This Row],[Employee name ]],[29]Parameters!CP:CS,4,0),"")</f>
        <v/>
      </c>
      <c r="M127" s="45"/>
      <c r="N127" s="5"/>
      <c r="O127" s="3"/>
      <c r="P127" s="8"/>
      <c r="Q127" s="8"/>
      <c r="R127" s="5"/>
      <c r="S127" s="5"/>
      <c r="T127" s="3"/>
      <c r="U127" s="3"/>
      <c r="V127" s="5"/>
      <c r="W127" s="5"/>
      <c r="X127" s="5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</row>
    <row r="128" spans="1:75" s="36" customFormat="1" ht="16.5" customHeight="1">
      <c r="A128" s="5"/>
      <c r="B128" s="5"/>
      <c r="C128" s="5"/>
      <c r="D128" s="39"/>
      <c r="E128" s="40"/>
      <c r="F128" s="39"/>
      <c r="G128" s="4"/>
      <c r="H128" s="5"/>
      <c r="I128" s="3"/>
      <c r="J128" s="3"/>
      <c r="K128" s="3"/>
      <c r="L128" s="3" t="str">
        <f>IFERROR(VLOOKUP(tblSOW7[[#This Row],[Employee name ]],[29]Parameters!CP:CS,4,0),"")</f>
        <v/>
      </c>
      <c r="M128" s="45"/>
      <c r="N128" s="5"/>
      <c r="O128" s="3"/>
      <c r="P128" s="8"/>
      <c r="Q128" s="8"/>
      <c r="R128" s="5"/>
      <c r="S128" s="5"/>
      <c r="T128" s="3"/>
      <c r="U128" s="3"/>
      <c r="V128" s="5"/>
      <c r="W128" s="5"/>
      <c r="X128" s="5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</row>
    <row r="129" spans="1:75" s="36" customFormat="1" ht="16.5" customHeight="1">
      <c r="A129" s="5"/>
      <c r="B129" s="5"/>
      <c r="C129" s="5"/>
      <c r="D129" s="39"/>
      <c r="E129" s="40"/>
      <c r="F129" s="39"/>
      <c r="G129" s="4"/>
      <c r="H129" s="5"/>
      <c r="I129" s="3"/>
      <c r="J129" s="3"/>
      <c r="K129" s="3"/>
      <c r="L129" s="3" t="str">
        <f>IFERROR(VLOOKUP(tblSOW7[[#This Row],[Employee name ]],[29]Parameters!CP:CS,4,0),"")</f>
        <v/>
      </c>
      <c r="M129" s="45"/>
      <c r="N129" s="5"/>
      <c r="O129" s="3"/>
      <c r="P129" s="8"/>
      <c r="Q129" s="8"/>
      <c r="R129" s="5"/>
      <c r="S129" s="5"/>
      <c r="T129" s="3"/>
      <c r="U129" s="3"/>
      <c r="V129" s="5"/>
      <c r="W129" s="5"/>
      <c r="X129" s="5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</row>
    <row r="130" spans="1:75" s="36" customFormat="1" ht="16.5" customHeight="1">
      <c r="A130" s="5"/>
      <c r="B130" s="5"/>
      <c r="C130" s="5"/>
      <c r="D130" s="39"/>
      <c r="E130" s="40"/>
      <c r="F130" s="39"/>
      <c r="G130" s="4"/>
      <c r="H130" s="5"/>
      <c r="I130" s="3"/>
      <c r="J130" s="3"/>
      <c r="K130" s="3"/>
      <c r="L130" s="3" t="str">
        <f>IFERROR(VLOOKUP(tblSOW7[[#This Row],[Employee name ]],[29]Parameters!CP:CS,4,0),"")</f>
        <v/>
      </c>
      <c r="M130" s="45"/>
      <c r="N130" s="5"/>
      <c r="O130" s="3"/>
      <c r="P130" s="8"/>
      <c r="Q130" s="8"/>
      <c r="R130" s="5"/>
      <c r="S130" s="5"/>
      <c r="T130" s="3"/>
      <c r="U130" s="3"/>
      <c r="V130" s="5"/>
      <c r="W130" s="5"/>
      <c r="X130" s="5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</row>
    <row r="131" spans="1:75" s="36" customFormat="1" ht="16.5" customHeight="1">
      <c r="A131" s="5"/>
      <c r="B131" s="5"/>
      <c r="C131" s="5"/>
      <c r="D131" s="39"/>
      <c r="E131" s="40"/>
      <c r="F131" s="39"/>
      <c r="G131" s="4"/>
      <c r="H131" s="5"/>
      <c r="I131" s="3"/>
      <c r="J131" s="3"/>
      <c r="K131" s="3"/>
      <c r="L131" s="3" t="str">
        <f>IFERROR(VLOOKUP(tblSOW7[[#This Row],[Employee name ]],[29]Parameters!CP:CS,4,0),"")</f>
        <v/>
      </c>
      <c r="M131" s="45"/>
      <c r="N131" s="5"/>
      <c r="O131" s="3"/>
      <c r="P131" s="8"/>
      <c r="Q131" s="8"/>
      <c r="R131" s="5"/>
      <c r="S131" s="5"/>
      <c r="T131" s="3"/>
      <c r="U131" s="3"/>
      <c r="V131" s="5"/>
      <c r="W131" s="5"/>
      <c r="X131" s="5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</row>
    <row r="132" spans="1:75" s="36" customFormat="1" ht="16.5" customHeight="1">
      <c r="A132" s="5"/>
      <c r="B132" s="5"/>
      <c r="C132" s="5"/>
      <c r="D132" s="39"/>
      <c r="E132" s="40"/>
      <c r="F132" s="39"/>
      <c r="G132" s="4"/>
      <c r="H132" s="5"/>
      <c r="I132" s="3"/>
      <c r="J132" s="3"/>
      <c r="K132" s="3"/>
      <c r="L132" s="3" t="str">
        <f>IFERROR(VLOOKUP(tblSOW7[[#This Row],[Employee name ]],[29]Parameters!CP:CS,4,0),"")</f>
        <v/>
      </c>
      <c r="M132" s="45"/>
      <c r="N132" s="5"/>
      <c r="O132" s="3"/>
      <c r="P132" s="8"/>
      <c r="Q132" s="8"/>
      <c r="R132" s="5"/>
      <c r="S132" s="5"/>
      <c r="T132" s="3"/>
      <c r="U132" s="3"/>
      <c r="V132" s="5"/>
      <c r="W132" s="5"/>
      <c r="X132" s="5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</row>
    <row r="133" spans="1:75" s="36" customFormat="1" ht="16.5" customHeight="1">
      <c r="A133" s="5"/>
      <c r="B133" s="5"/>
      <c r="C133" s="5"/>
      <c r="D133" s="39"/>
      <c r="E133" s="40"/>
      <c r="F133" s="39"/>
      <c r="G133" s="4"/>
      <c r="H133" s="5"/>
      <c r="I133" s="3"/>
      <c r="J133" s="3"/>
      <c r="K133" s="3"/>
      <c r="L133" s="3" t="str">
        <f>IFERROR(VLOOKUP(tblSOW7[[#This Row],[Employee name ]],[29]Parameters!CP:CS,4,0),"")</f>
        <v/>
      </c>
      <c r="M133" s="45"/>
      <c r="N133" s="5"/>
      <c r="O133" s="3"/>
      <c r="P133" s="8"/>
      <c r="Q133" s="8"/>
      <c r="R133" s="5"/>
      <c r="S133" s="5"/>
      <c r="T133" s="3"/>
      <c r="U133" s="3"/>
      <c r="V133" s="5"/>
      <c r="W133" s="5"/>
      <c r="X133" s="5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</row>
    <row r="134" spans="1:75" s="36" customFormat="1" ht="16.5" customHeight="1">
      <c r="A134" s="5"/>
      <c r="B134" s="5"/>
      <c r="C134" s="5"/>
      <c r="D134" s="39"/>
      <c r="E134" s="40"/>
      <c r="F134" s="39"/>
      <c r="G134" s="4"/>
      <c r="H134" s="5"/>
      <c r="I134" s="3"/>
      <c r="J134" s="3"/>
      <c r="K134" s="3"/>
      <c r="L134" s="3" t="str">
        <f>IFERROR(VLOOKUP(tblSOW7[[#This Row],[Employee name ]],[29]Parameters!CP:CS,4,0),"")</f>
        <v/>
      </c>
      <c r="M134" s="45"/>
      <c r="N134" s="5"/>
      <c r="O134" s="3"/>
      <c r="P134" s="8"/>
      <c r="Q134" s="8"/>
      <c r="R134" s="5"/>
      <c r="S134" s="5"/>
      <c r="T134" s="3"/>
      <c r="U134" s="3"/>
      <c r="V134" s="5"/>
      <c r="W134" s="5"/>
      <c r="X134" s="5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</row>
    <row r="135" spans="1:75" s="36" customFormat="1" ht="16.5" customHeight="1">
      <c r="A135" s="5"/>
      <c r="B135" s="5"/>
      <c r="C135" s="5"/>
      <c r="D135" s="39"/>
      <c r="E135" s="40"/>
      <c r="F135" s="39"/>
      <c r="G135" s="4"/>
      <c r="H135" s="5"/>
      <c r="I135" s="3"/>
      <c r="J135" s="3"/>
      <c r="K135" s="3"/>
      <c r="L135" s="3" t="str">
        <f>IFERROR(VLOOKUP(tblSOW7[[#This Row],[Employee name ]],[29]Parameters!CP:CS,4,0),"")</f>
        <v/>
      </c>
      <c r="M135" s="45"/>
      <c r="N135" s="5"/>
      <c r="O135" s="3"/>
      <c r="P135" s="8"/>
      <c r="Q135" s="8"/>
      <c r="R135" s="5"/>
      <c r="S135" s="5"/>
      <c r="T135" s="3"/>
      <c r="U135" s="3"/>
      <c r="V135" s="5"/>
      <c r="W135" s="5"/>
      <c r="X135" s="5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</row>
    <row r="136" spans="1:75" s="36" customFormat="1" ht="16.5" customHeight="1">
      <c r="A136" s="5"/>
      <c r="B136" s="5"/>
      <c r="C136" s="5"/>
      <c r="D136" s="39"/>
      <c r="E136" s="40"/>
      <c r="F136" s="39"/>
      <c r="G136" s="4"/>
      <c r="H136" s="5"/>
      <c r="I136" s="3"/>
      <c r="J136" s="3"/>
      <c r="K136" s="3"/>
      <c r="L136" s="3" t="str">
        <f>IFERROR(VLOOKUP(tblSOW7[[#This Row],[Employee name ]],[29]Parameters!CP:CS,4,0),"")</f>
        <v/>
      </c>
      <c r="M136" s="45"/>
      <c r="N136" s="5"/>
      <c r="O136" s="3"/>
      <c r="P136" s="8"/>
      <c r="Q136" s="8"/>
      <c r="R136" s="5"/>
      <c r="S136" s="5"/>
      <c r="T136" s="3"/>
      <c r="U136" s="3"/>
      <c r="V136" s="5"/>
      <c r="W136" s="5"/>
      <c r="X136" s="5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</row>
    <row r="137" spans="1:75" s="36" customFormat="1" ht="16.5" customHeight="1">
      <c r="A137" s="5"/>
      <c r="B137" s="5"/>
      <c r="C137" s="5"/>
      <c r="D137" s="39"/>
      <c r="E137" s="40"/>
      <c r="F137" s="39"/>
      <c r="G137" s="4"/>
      <c r="H137" s="5"/>
      <c r="I137" s="3"/>
      <c r="J137" s="3"/>
      <c r="K137" s="3"/>
      <c r="L137" s="3" t="str">
        <f>IFERROR(VLOOKUP(tblSOW7[[#This Row],[Employee name ]],[29]Parameters!CP:CS,4,0),"")</f>
        <v/>
      </c>
      <c r="M137" s="45"/>
      <c r="N137" s="5"/>
      <c r="O137" s="3"/>
      <c r="P137" s="8"/>
      <c r="Q137" s="8"/>
      <c r="R137" s="5"/>
      <c r="S137" s="5"/>
      <c r="T137" s="3"/>
      <c r="U137" s="3"/>
      <c r="V137" s="5"/>
      <c r="W137" s="5"/>
      <c r="X137" s="5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</row>
    <row r="138" spans="1:75" s="36" customFormat="1" ht="16.5" customHeight="1">
      <c r="A138" s="5"/>
      <c r="B138" s="5"/>
      <c r="C138" s="5"/>
      <c r="D138" s="39"/>
      <c r="E138" s="40"/>
      <c r="F138" s="39"/>
      <c r="G138" s="4"/>
      <c r="H138" s="5"/>
      <c r="I138" s="3"/>
      <c r="J138" s="3"/>
      <c r="K138" s="3"/>
      <c r="L138" s="3" t="str">
        <f>IFERROR(VLOOKUP(tblSOW7[[#This Row],[Employee name ]],[29]Parameters!CP:CS,4,0),"")</f>
        <v/>
      </c>
      <c r="M138" s="45"/>
      <c r="N138" s="5"/>
      <c r="O138" s="3"/>
      <c r="P138" s="8"/>
      <c r="Q138" s="8"/>
      <c r="R138" s="5"/>
      <c r="S138" s="5"/>
      <c r="T138" s="3"/>
      <c r="U138" s="3"/>
      <c r="V138" s="5"/>
      <c r="W138" s="5"/>
      <c r="X138" s="5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</row>
    <row r="139" spans="1:75" s="36" customFormat="1" ht="16.5" customHeight="1">
      <c r="A139" s="5"/>
      <c r="B139" s="5"/>
      <c r="C139" s="5"/>
      <c r="D139" s="39"/>
      <c r="E139" s="40"/>
      <c r="F139" s="39"/>
      <c r="G139" s="4"/>
      <c r="H139" s="5"/>
      <c r="I139" s="3"/>
      <c r="J139" s="3"/>
      <c r="K139" s="3"/>
      <c r="L139" s="3" t="str">
        <f>IFERROR(VLOOKUP(tblSOW7[[#This Row],[Employee name ]],[29]Parameters!CP:CS,4,0),"")</f>
        <v/>
      </c>
      <c r="M139" s="45"/>
      <c r="N139" s="5"/>
      <c r="O139" s="3"/>
      <c r="P139" s="8"/>
      <c r="Q139" s="8"/>
      <c r="R139" s="5"/>
      <c r="S139" s="5"/>
      <c r="T139" s="3"/>
      <c r="U139" s="3"/>
      <c r="V139" s="5"/>
      <c r="W139" s="5"/>
      <c r="X139" s="5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</row>
    <row r="140" spans="1:75" s="36" customFormat="1" ht="16.5" customHeight="1">
      <c r="A140" s="5"/>
      <c r="B140" s="5"/>
      <c r="C140" s="5"/>
      <c r="D140" s="39"/>
      <c r="E140" s="40"/>
      <c r="F140" s="39"/>
      <c r="G140" s="4"/>
      <c r="H140" s="5"/>
      <c r="I140" s="3"/>
      <c r="J140" s="3"/>
      <c r="K140" s="3"/>
      <c r="L140" s="3" t="str">
        <f>IFERROR(VLOOKUP(tblSOW7[[#This Row],[Employee name ]],[29]Parameters!CP:CS,4,0),"")</f>
        <v/>
      </c>
      <c r="M140" s="45"/>
      <c r="N140" s="5"/>
      <c r="O140" s="3"/>
      <c r="P140" s="8"/>
      <c r="Q140" s="8"/>
      <c r="R140" s="5"/>
      <c r="S140" s="5"/>
      <c r="T140" s="3"/>
      <c r="U140" s="3"/>
      <c r="V140" s="5"/>
      <c r="W140" s="5"/>
      <c r="X140" s="5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</row>
    <row r="141" spans="1:75" s="36" customFormat="1" ht="16.5" customHeight="1">
      <c r="A141" s="5"/>
      <c r="B141" s="5"/>
      <c r="C141" s="5"/>
      <c r="D141" s="39"/>
      <c r="E141" s="40"/>
      <c r="F141" s="39"/>
      <c r="G141" s="4"/>
      <c r="H141" s="5"/>
      <c r="I141" s="3"/>
      <c r="J141" s="3"/>
      <c r="K141" s="3"/>
      <c r="L141" s="3" t="str">
        <f>IFERROR(VLOOKUP(tblSOW7[[#This Row],[Employee name ]],[29]Parameters!CP:CS,4,0),"")</f>
        <v/>
      </c>
      <c r="M141" s="45"/>
      <c r="N141" s="5"/>
      <c r="O141" s="3"/>
      <c r="P141" s="8"/>
      <c r="Q141" s="8"/>
      <c r="R141" s="5"/>
      <c r="S141" s="5"/>
      <c r="T141" s="3"/>
      <c r="U141" s="3"/>
      <c r="V141" s="5"/>
      <c r="W141" s="5"/>
      <c r="X141" s="5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</row>
    <row r="142" spans="1:75" s="36" customFormat="1" ht="16.5" customHeight="1">
      <c r="A142" s="5"/>
      <c r="B142" s="5"/>
      <c r="C142" s="5"/>
      <c r="D142" s="39"/>
      <c r="E142" s="40"/>
      <c r="F142" s="39"/>
      <c r="G142" s="4"/>
      <c r="H142" s="5"/>
      <c r="I142" s="3"/>
      <c r="J142" s="3"/>
      <c r="K142" s="3"/>
      <c r="L142" s="3" t="str">
        <f>IFERROR(VLOOKUP(tblSOW7[[#This Row],[Employee name ]],[29]Parameters!CP:CS,4,0),"")</f>
        <v/>
      </c>
      <c r="M142" s="45"/>
      <c r="N142" s="5"/>
      <c r="O142" s="3"/>
      <c r="P142" s="8"/>
      <c r="Q142" s="8"/>
      <c r="R142" s="5"/>
      <c r="S142" s="5"/>
      <c r="T142" s="3"/>
      <c r="U142" s="3"/>
      <c r="V142" s="5"/>
      <c r="W142" s="5"/>
      <c r="X142" s="5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</row>
    <row r="143" spans="1:75" s="36" customFormat="1" ht="16.5" customHeight="1">
      <c r="A143" s="5"/>
      <c r="B143" s="5"/>
      <c r="C143" s="5"/>
      <c r="D143" s="39"/>
      <c r="E143" s="40"/>
      <c r="F143" s="39"/>
      <c r="G143" s="4"/>
      <c r="H143" s="5"/>
      <c r="I143" s="3"/>
      <c r="J143" s="3"/>
      <c r="K143" s="3"/>
      <c r="L143" s="3" t="str">
        <f>IFERROR(VLOOKUP(tblSOW7[[#This Row],[Employee name ]],[29]Parameters!CP:CS,4,0),"")</f>
        <v/>
      </c>
      <c r="M143" s="45"/>
      <c r="N143" s="5"/>
      <c r="O143" s="3"/>
      <c r="P143" s="8"/>
      <c r="Q143" s="8"/>
      <c r="R143" s="5"/>
      <c r="S143" s="5"/>
      <c r="T143" s="3"/>
      <c r="U143" s="3"/>
      <c r="V143" s="5"/>
      <c r="W143" s="5"/>
      <c r="X143" s="5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</row>
    <row r="144" spans="1:75" s="36" customFormat="1" ht="16.5" customHeight="1">
      <c r="A144" s="5"/>
      <c r="B144" s="5"/>
      <c r="C144" s="5"/>
      <c r="D144" s="39"/>
      <c r="E144" s="40"/>
      <c r="F144" s="39"/>
      <c r="G144" s="4"/>
      <c r="H144" s="5"/>
      <c r="I144" s="3"/>
      <c r="J144" s="3"/>
      <c r="K144" s="3"/>
      <c r="L144" s="3" t="str">
        <f>IFERROR(VLOOKUP(tblSOW7[[#This Row],[Employee name ]],[29]Parameters!CP:CS,4,0),"")</f>
        <v/>
      </c>
      <c r="M144" s="45"/>
      <c r="N144" s="5"/>
      <c r="O144" s="3"/>
      <c r="P144" s="8"/>
      <c r="Q144" s="8"/>
      <c r="R144" s="5"/>
      <c r="S144" s="5"/>
      <c r="T144" s="3"/>
      <c r="U144" s="3"/>
      <c r="V144" s="5"/>
      <c r="W144" s="5"/>
      <c r="X144" s="5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</row>
    <row r="145" spans="1:75" s="36" customFormat="1" ht="16.5" customHeight="1">
      <c r="A145" s="5"/>
      <c r="B145" s="5"/>
      <c r="C145" s="5"/>
      <c r="D145" s="39"/>
      <c r="E145" s="40"/>
      <c r="F145" s="39"/>
      <c r="G145" s="4"/>
      <c r="H145" s="5"/>
      <c r="I145" s="3"/>
      <c r="J145" s="3"/>
      <c r="K145" s="3"/>
      <c r="L145" s="3" t="str">
        <f>IFERROR(VLOOKUP(tblSOW7[[#This Row],[Employee name ]],[29]Parameters!CP:CS,4,0),"")</f>
        <v/>
      </c>
      <c r="M145" s="45"/>
      <c r="N145" s="5"/>
      <c r="O145" s="3"/>
      <c r="P145" s="8"/>
      <c r="Q145" s="8"/>
      <c r="R145" s="5"/>
      <c r="S145" s="5"/>
      <c r="T145" s="3"/>
      <c r="U145" s="3"/>
      <c r="V145" s="5"/>
      <c r="W145" s="5"/>
      <c r="X145" s="5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</row>
    <row r="146" spans="1:75" s="36" customFormat="1" ht="16.5" customHeight="1">
      <c r="A146" s="5"/>
      <c r="B146" s="5"/>
      <c r="C146" s="5"/>
      <c r="D146" s="39"/>
      <c r="E146" s="40"/>
      <c r="F146" s="39"/>
      <c r="G146" s="4"/>
      <c r="H146" s="5"/>
      <c r="I146" s="3"/>
      <c r="J146" s="3"/>
      <c r="K146" s="3"/>
      <c r="L146" s="3" t="str">
        <f>IFERROR(VLOOKUP(tblSOW7[[#This Row],[Employee name ]],[29]Parameters!CP:CS,4,0),"")</f>
        <v/>
      </c>
      <c r="M146" s="45"/>
      <c r="N146" s="5"/>
      <c r="O146" s="3"/>
      <c r="P146" s="8"/>
      <c r="Q146" s="8"/>
      <c r="R146" s="5"/>
      <c r="S146" s="5"/>
      <c r="T146" s="3"/>
      <c r="U146" s="3"/>
      <c r="V146" s="5"/>
      <c r="W146" s="5"/>
      <c r="X146" s="5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</row>
    <row r="147" spans="1:75" s="36" customFormat="1" ht="16.5" customHeight="1">
      <c r="A147" s="5"/>
      <c r="B147" s="5"/>
      <c r="C147" s="5"/>
      <c r="D147" s="39"/>
      <c r="E147" s="40"/>
      <c r="F147" s="39"/>
      <c r="G147" s="4"/>
      <c r="H147" s="5"/>
      <c r="I147" s="3"/>
      <c r="J147" s="3"/>
      <c r="K147" s="3"/>
      <c r="L147" s="3" t="str">
        <f>IFERROR(VLOOKUP(tblSOW7[[#This Row],[Employee name ]],[29]Parameters!CP:CS,4,0),"")</f>
        <v/>
      </c>
      <c r="M147" s="45"/>
      <c r="N147" s="5"/>
      <c r="O147" s="3"/>
      <c r="P147" s="8"/>
      <c r="Q147" s="8"/>
      <c r="R147" s="5"/>
      <c r="S147" s="5"/>
      <c r="T147" s="3"/>
      <c r="U147" s="3"/>
      <c r="V147" s="5"/>
      <c r="W147" s="5"/>
      <c r="X147" s="5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</row>
    <row r="148" spans="1:75" s="36" customFormat="1" ht="16.5" customHeight="1">
      <c r="A148" s="5"/>
      <c r="B148" s="5"/>
      <c r="C148" s="5"/>
      <c r="D148" s="39"/>
      <c r="E148" s="40"/>
      <c r="F148" s="39"/>
      <c r="G148" s="4"/>
      <c r="H148" s="5"/>
      <c r="I148" s="3"/>
      <c r="J148" s="3"/>
      <c r="K148" s="3"/>
      <c r="L148" s="3" t="str">
        <f>IFERROR(VLOOKUP(tblSOW7[[#This Row],[Employee name ]],[29]Parameters!CP:CS,4,0),"")</f>
        <v/>
      </c>
      <c r="M148" s="45"/>
      <c r="N148" s="5"/>
      <c r="O148" s="3"/>
      <c r="P148" s="8"/>
      <c r="Q148" s="8"/>
      <c r="R148" s="5"/>
      <c r="S148" s="5"/>
      <c r="T148" s="3"/>
      <c r="U148" s="3"/>
      <c r="V148" s="5"/>
      <c r="W148" s="5"/>
      <c r="X148" s="5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</row>
    <row r="149" spans="1:75" s="36" customFormat="1" ht="16.5" customHeight="1">
      <c r="A149" s="5"/>
      <c r="B149" s="5"/>
      <c r="C149" s="5"/>
      <c r="D149" s="39"/>
      <c r="E149" s="40"/>
      <c r="F149" s="39"/>
      <c r="G149" s="4"/>
      <c r="H149" s="5"/>
      <c r="I149" s="3"/>
      <c r="J149" s="3"/>
      <c r="K149" s="3"/>
      <c r="L149" s="3" t="str">
        <f>IFERROR(VLOOKUP(tblSOW7[[#This Row],[Employee name ]],[29]Parameters!CP:CS,4,0),"")</f>
        <v/>
      </c>
      <c r="M149" s="45"/>
      <c r="N149" s="5"/>
      <c r="O149" s="3"/>
      <c r="P149" s="8"/>
      <c r="Q149" s="8"/>
      <c r="R149" s="5"/>
      <c r="S149" s="5"/>
      <c r="T149" s="3"/>
      <c r="U149" s="3"/>
      <c r="V149" s="5"/>
      <c r="W149" s="5"/>
      <c r="X149" s="5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</row>
    <row r="150" spans="1:75" s="36" customFormat="1" ht="16.5" customHeight="1">
      <c r="A150" s="5"/>
      <c r="B150" s="5"/>
      <c r="C150" s="5"/>
      <c r="D150" s="39"/>
      <c r="E150" s="40"/>
      <c r="F150" s="39"/>
      <c r="G150" s="4"/>
      <c r="H150" s="5"/>
      <c r="I150" s="3"/>
      <c r="J150" s="3"/>
      <c r="K150" s="3"/>
      <c r="L150" s="3" t="str">
        <f>IFERROR(VLOOKUP(tblSOW7[[#This Row],[Employee name ]],[29]Parameters!CP:CS,4,0),"")</f>
        <v/>
      </c>
      <c r="M150" s="45"/>
      <c r="N150" s="5"/>
      <c r="O150" s="3"/>
      <c r="P150" s="8"/>
      <c r="Q150" s="8"/>
      <c r="R150" s="5"/>
      <c r="S150" s="5"/>
      <c r="T150" s="3"/>
      <c r="U150" s="3"/>
      <c r="V150" s="5"/>
      <c r="W150" s="5"/>
      <c r="X150" s="5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</row>
    <row r="151" spans="1:75" s="36" customFormat="1" ht="16.5" customHeight="1">
      <c r="A151" s="5"/>
      <c r="B151" s="5"/>
      <c r="C151" s="5"/>
      <c r="D151" s="39"/>
      <c r="E151" s="40"/>
      <c r="F151" s="39"/>
      <c r="G151" s="4"/>
      <c r="H151" s="5"/>
      <c r="I151" s="3"/>
      <c r="J151" s="3"/>
      <c r="K151" s="3"/>
      <c r="L151" s="3" t="str">
        <f>IFERROR(VLOOKUP(tblSOW7[[#This Row],[Employee name ]],[29]Parameters!CP:CS,4,0),"")</f>
        <v/>
      </c>
      <c r="M151" s="45"/>
      <c r="N151" s="5"/>
      <c r="O151" s="3"/>
      <c r="P151" s="8"/>
      <c r="Q151" s="8"/>
      <c r="R151" s="5"/>
      <c r="S151" s="5"/>
      <c r="T151" s="3"/>
      <c r="U151" s="3"/>
      <c r="V151" s="5"/>
      <c r="W151" s="5"/>
      <c r="X151" s="5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</row>
    <row r="152" spans="1:75" s="36" customFormat="1" ht="16.5" customHeight="1">
      <c r="A152" s="5"/>
      <c r="B152" s="5"/>
      <c r="C152" s="5"/>
      <c r="D152" s="39"/>
      <c r="E152" s="40"/>
      <c r="F152" s="39"/>
      <c r="G152" s="4"/>
      <c r="H152" s="5"/>
      <c r="I152" s="3"/>
      <c r="J152" s="3"/>
      <c r="K152" s="3"/>
      <c r="L152" s="3" t="str">
        <f>IFERROR(VLOOKUP(tblSOW7[[#This Row],[Employee name ]],[29]Parameters!CP:CS,4,0),"")</f>
        <v/>
      </c>
      <c r="M152" s="45"/>
      <c r="N152" s="5"/>
      <c r="O152" s="3"/>
      <c r="P152" s="8"/>
      <c r="Q152" s="8"/>
      <c r="R152" s="5"/>
      <c r="S152" s="5"/>
      <c r="T152" s="3"/>
      <c r="U152" s="3"/>
      <c r="V152" s="5"/>
      <c r="W152" s="5"/>
      <c r="X152" s="5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</row>
    <row r="153" spans="1:75" s="36" customFormat="1" ht="16.5" customHeight="1">
      <c r="A153" s="5"/>
      <c r="B153" s="5"/>
      <c r="C153" s="5"/>
      <c r="D153" s="39"/>
      <c r="E153" s="40"/>
      <c r="F153" s="39"/>
      <c r="G153" s="4"/>
      <c r="H153" s="5"/>
      <c r="I153" s="3"/>
      <c r="J153" s="3"/>
      <c r="K153" s="3"/>
      <c r="L153" s="3" t="str">
        <f>IFERROR(VLOOKUP(tblSOW7[[#This Row],[Employee name ]],[29]Parameters!CP:CS,4,0),"")</f>
        <v/>
      </c>
      <c r="M153" s="45"/>
      <c r="N153" s="5"/>
      <c r="O153" s="3"/>
      <c r="P153" s="8"/>
      <c r="Q153" s="8"/>
      <c r="R153" s="5"/>
      <c r="S153" s="5"/>
      <c r="T153" s="3"/>
      <c r="U153" s="3"/>
      <c r="V153" s="5"/>
      <c r="W153" s="5"/>
      <c r="X153" s="5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</row>
    <row r="154" spans="1:75" s="36" customFormat="1" ht="16.5" customHeight="1">
      <c r="A154" s="5"/>
      <c r="B154" s="5"/>
      <c r="C154" s="5"/>
      <c r="D154" s="39"/>
      <c r="E154" s="40"/>
      <c r="F154" s="39"/>
      <c r="G154" s="4"/>
      <c r="H154" s="5"/>
      <c r="I154" s="3"/>
      <c r="J154" s="3"/>
      <c r="K154" s="3"/>
      <c r="L154" s="3" t="str">
        <f>IFERROR(VLOOKUP(tblSOW7[[#This Row],[Employee name ]],[29]Parameters!CP:CS,4,0),"")</f>
        <v/>
      </c>
      <c r="M154" s="45"/>
      <c r="N154" s="5"/>
      <c r="O154" s="3"/>
      <c r="P154" s="8"/>
      <c r="Q154" s="8"/>
      <c r="R154" s="5"/>
      <c r="S154" s="5"/>
      <c r="T154" s="3"/>
      <c r="U154" s="3"/>
      <c r="V154" s="5"/>
      <c r="W154" s="5"/>
      <c r="X154" s="5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</row>
    <row r="155" spans="1:75" s="36" customFormat="1" ht="16.5" customHeight="1">
      <c r="A155" s="5"/>
      <c r="B155" s="5"/>
      <c r="C155" s="5"/>
      <c r="D155" s="39"/>
      <c r="E155" s="40"/>
      <c r="F155" s="39"/>
      <c r="G155" s="4"/>
      <c r="H155" s="5"/>
      <c r="I155" s="3"/>
      <c r="J155" s="3"/>
      <c r="K155" s="3"/>
      <c r="L155" s="3" t="str">
        <f>IFERROR(VLOOKUP(tblSOW7[[#This Row],[Employee name ]],[29]Parameters!CP:CS,4,0),"")</f>
        <v/>
      </c>
      <c r="M155" s="45"/>
      <c r="N155" s="5"/>
      <c r="O155" s="3"/>
      <c r="P155" s="8"/>
      <c r="Q155" s="8"/>
      <c r="R155" s="5"/>
      <c r="S155" s="5"/>
      <c r="T155" s="3"/>
      <c r="U155" s="3"/>
      <c r="V155" s="5"/>
      <c r="W155" s="5"/>
      <c r="X155" s="5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</row>
    <row r="156" spans="1:75" s="36" customFormat="1" ht="16.5" customHeight="1">
      <c r="A156" s="5"/>
      <c r="B156" s="5"/>
      <c r="C156" s="5"/>
      <c r="D156" s="39"/>
      <c r="E156" s="40"/>
      <c r="F156" s="39"/>
      <c r="G156" s="4"/>
      <c r="H156" s="5"/>
      <c r="I156" s="3"/>
      <c r="J156" s="3"/>
      <c r="K156" s="3"/>
      <c r="L156" s="3" t="str">
        <f>IFERROR(VLOOKUP(tblSOW7[[#This Row],[Employee name ]],[29]Parameters!CP:CS,4,0),"")</f>
        <v/>
      </c>
      <c r="M156" s="45"/>
      <c r="N156" s="5"/>
      <c r="O156" s="3"/>
      <c r="P156" s="8"/>
      <c r="Q156" s="8"/>
      <c r="R156" s="5"/>
      <c r="S156" s="5"/>
      <c r="T156" s="3"/>
      <c r="U156" s="3"/>
      <c r="V156" s="5"/>
      <c r="W156" s="5"/>
      <c r="X156" s="5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</row>
    <row r="157" spans="1:75" s="36" customFormat="1" ht="16.5" customHeight="1">
      <c r="A157" s="5"/>
      <c r="B157" s="5"/>
      <c r="C157" s="5"/>
      <c r="D157" s="39"/>
      <c r="E157" s="40"/>
      <c r="F157" s="39"/>
      <c r="G157" s="4"/>
      <c r="H157" s="5"/>
      <c r="I157" s="3"/>
      <c r="J157" s="3"/>
      <c r="K157" s="3"/>
      <c r="L157" s="3" t="str">
        <f>IFERROR(VLOOKUP(tblSOW7[[#This Row],[Employee name ]],[29]Parameters!CP:CS,4,0),"")</f>
        <v/>
      </c>
      <c r="M157" s="45"/>
      <c r="N157" s="5"/>
      <c r="O157" s="3"/>
      <c r="P157" s="8"/>
      <c r="Q157" s="8"/>
      <c r="R157" s="5"/>
      <c r="S157" s="5"/>
      <c r="T157" s="3"/>
      <c r="U157" s="3"/>
      <c r="V157" s="5"/>
      <c r="W157" s="5"/>
      <c r="X157" s="5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</row>
    <row r="158" spans="1:75" s="36" customFormat="1" ht="16.5" customHeight="1">
      <c r="A158" s="5"/>
      <c r="B158" s="5"/>
      <c r="C158" s="5"/>
      <c r="D158" s="39"/>
      <c r="E158" s="40"/>
      <c r="F158" s="39"/>
      <c r="G158" s="4"/>
      <c r="H158" s="5"/>
      <c r="I158" s="3"/>
      <c r="J158" s="3"/>
      <c r="K158" s="3"/>
      <c r="L158" s="3" t="str">
        <f>IFERROR(VLOOKUP(tblSOW7[[#This Row],[Employee name ]],[29]Parameters!CP:CS,4,0),"")</f>
        <v/>
      </c>
      <c r="M158" s="45"/>
      <c r="N158" s="5"/>
      <c r="O158" s="3"/>
      <c r="P158" s="8"/>
      <c r="Q158" s="8"/>
      <c r="R158" s="5"/>
      <c r="S158" s="5"/>
      <c r="T158" s="3"/>
      <c r="U158" s="3"/>
      <c r="V158" s="5"/>
      <c r="W158" s="5"/>
      <c r="X158" s="5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</row>
    <row r="159" spans="1:75" s="36" customFormat="1" ht="16.5" customHeight="1">
      <c r="A159" s="5"/>
      <c r="B159" s="5"/>
      <c r="C159" s="5"/>
      <c r="D159" s="39"/>
      <c r="E159" s="40"/>
      <c r="F159" s="39"/>
      <c r="G159" s="4"/>
      <c r="H159" s="5"/>
      <c r="I159" s="3"/>
      <c r="J159" s="3"/>
      <c r="K159" s="3"/>
      <c r="L159" s="3" t="str">
        <f>IFERROR(VLOOKUP(tblSOW7[[#This Row],[Employee name ]],[29]Parameters!CP:CS,4,0),"")</f>
        <v/>
      </c>
      <c r="M159" s="45"/>
      <c r="N159" s="5"/>
      <c r="O159" s="3"/>
      <c r="P159" s="8"/>
      <c r="Q159" s="8"/>
      <c r="R159" s="5"/>
      <c r="S159" s="5"/>
      <c r="T159" s="3"/>
      <c r="U159" s="3"/>
      <c r="V159" s="5"/>
      <c r="W159" s="5"/>
      <c r="X159" s="5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</row>
    <row r="160" spans="1:75" s="36" customFormat="1" ht="16.5" customHeight="1">
      <c r="A160" s="5"/>
      <c r="B160" s="5"/>
      <c r="C160" s="5"/>
      <c r="D160" s="39"/>
      <c r="E160" s="40"/>
      <c r="F160" s="39"/>
      <c r="G160" s="4"/>
      <c r="H160" s="5"/>
      <c r="I160" s="3"/>
      <c r="J160" s="3"/>
      <c r="K160" s="3"/>
      <c r="L160" s="3" t="str">
        <f>IFERROR(VLOOKUP(tblSOW7[[#This Row],[Employee name ]],[29]Parameters!CP:CS,4,0),"")</f>
        <v/>
      </c>
      <c r="M160" s="45"/>
      <c r="N160" s="5"/>
      <c r="O160" s="3"/>
      <c r="P160" s="8"/>
      <c r="Q160" s="8"/>
      <c r="R160" s="5"/>
      <c r="S160" s="5"/>
      <c r="T160" s="3"/>
      <c r="U160" s="3"/>
      <c r="V160" s="5"/>
      <c r="W160" s="5"/>
      <c r="X160" s="5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</row>
    <row r="161" spans="1:75" s="36" customFormat="1" ht="16.5" customHeight="1">
      <c r="A161" s="5"/>
      <c r="B161" s="5"/>
      <c r="C161" s="5"/>
      <c r="D161" s="39"/>
      <c r="E161" s="40"/>
      <c r="F161" s="39"/>
      <c r="G161" s="4"/>
      <c r="H161" s="5"/>
      <c r="I161" s="3"/>
      <c r="J161" s="3"/>
      <c r="K161" s="3"/>
      <c r="L161" s="3" t="str">
        <f>IFERROR(VLOOKUP(tblSOW7[[#This Row],[Employee name ]],[29]Parameters!CP:CS,4,0),"")</f>
        <v/>
      </c>
      <c r="M161" s="45"/>
      <c r="N161" s="5"/>
      <c r="O161" s="3"/>
      <c r="P161" s="8"/>
      <c r="Q161" s="8"/>
      <c r="R161" s="5"/>
      <c r="S161" s="5"/>
      <c r="T161" s="3"/>
      <c r="U161" s="3"/>
      <c r="V161" s="5"/>
      <c r="W161" s="5"/>
      <c r="X161" s="5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</row>
    <row r="162" spans="1:75" s="36" customFormat="1" ht="16.5" customHeight="1">
      <c r="A162" s="5"/>
      <c r="B162" s="5"/>
      <c r="C162" s="5"/>
      <c r="D162" s="39"/>
      <c r="E162" s="40"/>
      <c r="F162" s="39"/>
      <c r="G162" s="4"/>
      <c r="H162" s="5"/>
      <c r="I162" s="3"/>
      <c r="J162" s="3"/>
      <c r="K162" s="3"/>
      <c r="L162" s="3" t="str">
        <f>IFERROR(VLOOKUP(tblSOW7[[#This Row],[Employee name ]],[29]Parameters!CP:CS,4,0),"")</f>
        <v/>
      </c>
      <c r="M162" s="45"/>
      <c r="N162" s="5"/>
      <c r="O162" s="3"/>
      <c r="P162" s="8"/>
      <c r="Q162" s="8"/>
      <c r="R162" s="5"/>
      <c r="S162" s="5"/>
      <c r="T162" s="3"/>
      <c r="U162" s="3"/>
      <c r="V162" s="5"/>
      <c r="W162" s="5"/>
      <c r="X162" s="5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</row>
    <row r="163" spans="1:75" s="36" customFormat="1" ht="16.5" customHeight="1">
      <c r="A163" s="5"/>
      <c r="B163" s="5"/>
      <c r="C163" s="5"/>
      <c r="D163" s="39"/>
      <c r="E163" s="40"/>
      <c r="F163" s="39"/>
      <c r="G163" s="4"/>
      <c r="H163" s="5"/>
      <c r="I163" s="3"/>
      <c r="J163" s="3"/>
      <c r="K163" s="3"/>
      <c r="L163" s="3" t="str">
        <f>IFERROR(VLOOKUP(tblSOW7[[#This Row],[Employee name ]],[29]Parameters!CP:CS,4,0),"")</f>
        <v/>
      </c>
      <c r="M163" s="45"/>
      <c r="N163" s="5"/>
      <c r="O163" s="3"/>
      <c r="P163" s="8"/>
      <c r="Q163" s="8"/>
      <c r="R163" s="5"/>
      <c r="S163" s="5"/>
      <c r="T163" s="3"/>
      <c r="U163" s="3"/>
      <c r="V163" s="5"/>
      <c r="W163" s="5"/>
      <c r="X163" s="5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</row>
    <row r="164" spans="1:75" s="36" customFormat="1" ht="16.5" customHeight="1">
      <c r="A164" s="5"/>
      <c r="B164" s="5"/>
      <c r="C164" s="5"/>
      <c r="D164" s="39"/>
      <c r="E164" s="40"/>
      <c r="F164" s="39"/>
      <c r="G164" s="4"/>
      <c r="H164" s="5"/>
      <c r="I164" s="3"/>
      <c r="J164" s="3"/>
      <c r="K164" s="3"/>
      <c r="L164" s="3" t="str">
        <f>IFERROR(VLOOKUP(tblSOW7[[#This Row],[Employee name ]],[29]Parameters!CP:CS,4,0),"")</f>
        <v/>
      </c>
      <c r="M164" s="45"/>
      <c r="N164" s="5"/>
      <c r="O164" s="3"/>
      <c r="P164" s="8"/>
      <c r="Q164" s="8"/>
      <c r="R164" s="5"/>
      <c r="S164" s="5"/>
      <c r="T164" s="3"/>
      <c r="U164" s="3"/>
      <c r="V164" s="5"/>
      <c r="W164" s="5"/>
      <c r="X164" s="5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</row>
    <row r="165" spans="1:75" s="36" customFormat="1" ht="16.5" customHeight="1">
      <c r="A165" s="5"/>
      <c r="B165" s="5"/>
      <c r="C165" s="5"/>
      <c r="D165" s="39"/>
      <c r="E165" s="40"/>
      <c r="F165" s="39"/>
      <c r="G165" s="4"/>
      <c r="H165" s="5"/>
      <c r="I165" s="3"/>
      <c r="J165" s="3"/>
      <c r="K165" s="3"/>
      <c r="L165" s="3" t="str">
        <f>IFERROR(VLOOKUP(tblSOW7[[#This Row],[Employee name ]],[29]Parameters!CP:CS,4,0),"")</f>
        <v/>
      </c>
      <c r="M165" s="45"/>
      <c r="N165" s="5"/>
      <c r="O165" s="3"/>
      <c r="P165" s="8"/>
      <c r="Q165" s="8"/>
      <c r="R165" s="5"/>
      <c r="S165" s="5"/>
      <c r="T165" s="3"/>
      <c r="U165" s="3"/>
      <c r="V165" s="5"/>
      <c r="W165" s="5"/>
      <c r="X165" s="5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</row>
    <row r="166" spans="1:75" s="36" customFormat="1" ht="16.5" customHeight="1">
      <c r="A166" s="5"/>
      <c r="B166" s="5"/>
      <c r="C166" s="5"/>
      <c r="D166" s="39"/>
      <c r="E166" s="40"/>
      <c r="F166" s="39"/>
      <c r="G166" s="4"/>
      <c r="H166" s="5"/>
      <c r="I166" s="3"/>
      <c r="J166" s="3"/>
      <c r="K166" s="3"/>
      <c r="L166" s="3" t="str">
        <f>IFERROR(VLOOKUP(tblSOW7[[#This Row],[Employee name ]],[29]Parameters!CP:CS,4,0),"")</f>
        <v/>
      </c>
      <c r="M166" s="45"/>
      <c r="N166" s="5"/>
      <c r="O166" s="3"/>
      <c r="P166" s="8"/>
      <c r="Q166" s="8"/>
      <c r="R166" s="5"/>
      <c r="S166" s="5"/>
      <c r="T166" s="3"/>
      <c r="U166" s="3"/>
      <c r="V166" s="5"/>
      <c r="W166" s="5"/>
      <c r="X166" s="5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</row>
    <row r="167" spans="1:75" s="36" customFormat="1" ht="16.5" customHeight="1">
      <c r="A167" s="5"/>
      <c r="B167" s="5"/>
      <c r="C167" s="5"/>
      <c r="D167" s="39"/>
      <c r="E167" s="40"/>
      <c r="F167" s="39"/>
      <c r="G167" s="4"/>
      <c r="H167" s="5"/>
      <c r="I167" s="3"/>
      <c r="J167" s="3"/>
      <c r="K167" s="3"/>
      <c r="L167" s="3" t="str">
        <f>IFERROR(VLOOKUP(tblSOW7[[#This Row],[Employee name ]],[29]Parameters!CP:CS,4,0),"")</f>
        <v/>
      </c>
      <c r="M167" s="45"/>
      <c r="N167" s="5"/>
      <c r="O167" s="3"/>
      <c r="P167" s="8"/>
      <c r="Q167" s="8"/>
      <c r="R167" s="5"/>
      <c r="S167" s="5"/>
      <c r="T167" s="3"/>
      <c r="U167" s="3"/>
      <c r="V167" s="5"/>
      <c r="W167" s="5"/>
      <c r="X167" s="5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</row>
    <row r="168" spans="1:75" s="36" customFormat="1" ht="16.5" customHeight="1">
      <c r="A168" s="5"/>
      <c r="B168" s="5"/>
      <c r="C168" s="5"/>
      <c r="D168" s="39"/>
      <c r="E168" s="40"/>
      <c r="F168" s="39"/>
      <c r="G168" s="4"/>
      <c r="H168" s="5"/>
      <c r="I168" s="3"/>
      <c r="J168" s="3"/>
      <c r="K168" s="3"/>
      <c r="L168" s="3" t="str">
        <f>IFERROR(VLOOKUP(tblSOW7[[#This Row],[Employee name ]],[29]Parameters!CP:CS,4,0),"")</f>
        <v/>
      </c>
      <c r="M168" s="45"/>
      <c r="N168" s="5"/>
      <c r="O168" s="3"/>
      <c r="P168" s="8"/>
      <c r="Q168" s="8"/>
      <c r="R168" s="5"/>
      <c r="S168" s="5"/>
      <c r="T168" s="3"/>
      <c r="U168" s="3"/>
      <c r="V168" s="5"/>
      <c r="W168" s="5"/>
      <c r="X168" s="5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</row>
    <row r="169" spans="1:75" s="36" customFormat="1" ht="16.5" customHeight="1">
      <c r="A169" s="5"/>
      <c r="B169" s="5"/>
      <c r="C169" s="5"/>
      <c r="D169" s="39"/>
      <c r="E169" s="40"/>
      <c r="F169" s="39"/>
      <c r="G169" s="4"/>
      <c r="H169" s="5"/>
      <c r="I169" s="3"/>
      <c r="J169" s="3"/>
      <c r="K169" s="3"/>
      <c r="L169" s="3" t="str">
        <f>IFERROR(VLOOKUP(tblSOW7[[#This Row],[Employee name ]],[29]Parameters!CP:CS,4,0),"")</f>
        <v/>
      </c>
      <c r="M169" s="45"/>
      <c r="N169" s="5"/>
      <c r="O169" s="3"/>
      <c r="P169" s="8"/>
      <c r="Q169" s="8"/>
      <c r="R169" s="5"/>
      <c r="S169" s="5"/>
      <c r="T169" s="3"/>
      <c r="U169" s="3"/>
      <c r="V169" s="5"/>
      <c r="W169" s="5"/>
      <c r="X169" s="5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</row>
    <row r="170" spans="1:75" s="36" customFormat="1" ht="16.5" customHeight="1">
      <c r="A170" s="5"/>
      <c r="B170" s="5"/>
      <c r="C170" s="5"/>
      <c r="D170" s="39"/>
      <c r="E170" s="40"/>
      <c r="F170" s="39"/>
      <c r="G170" s="4"/>
      <c r="H170" s="5"/>
      <c r="I170" s="3"/>
      <c r="J170" s="3"/>
      <c r="K170" s="3"/>
      <c r="L170" s="3" t="str">
        <f>IFERROR(VLOOKUP(tblSOW7[[#This Row],[Employee name ]],[29]Parameters!CP:CS,4,0),"")</f>
        <v/>
      </c>
      <c r="M170" s="45"/>
      <c r="N170" s="5"/>
      <c r="O170" s="3"/>
      <c r="P170" s="8"/>
      <c r="Q170" s="8"/>
      <c r="R170" s="5"/>
      <c r="S170" s="5"/>
      <c r="T170" s="3"/>
      <c r="U170" s="3"/>
      <c r="V170" s="5"/>
      <c r="W170" s="5"/>
      <c r="X170" s="5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</row>
    <row r="171" spans="1:75" s="36" customFormat="1" ht="16.5" customHeight="1">
      <c r="A171" s="5"/>
      <c r="B171" s="5"/>
      <c r="C171" s="5"/>
      <c r="D171" s="39"/>
      <c r="E171" s="40"/>
      <c r="F171" s="39"/>
      <c r="G171" s="4"/>
      <c r="H171" s="5"/>
      <c r="I171" s="3"/>
      <c r="J171" s="3"/>
      <c r="K171" s="3"/>
      <c r="L171" s="3" t="str">
        <f>IFERROR(VLOOKUP(tblSOW7[[#This Row],[Employee name ]],[29]Parameters!CP:CS,4,0),"")</f>
        <v/>
      </c>
      <c r="M171" s="45"/>
      <c r="N171" s="5"/>
      <c r="O171" s="3"/>
      <c r="P171" s="8"/>
      <c r="Q171" s="8"/>
      <c r="R171" s="5"/>
      <c r="S171" s="5"/>
      <c r="T171" s="3"/>
      <c r="U171" s="3"/>
      <c r="V171" s="5"/>
      <c r="W171" s="5"/>
      <c r="X171" s="5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</row>
    <row r="172" spans="1:75" s="36" customFormat="1" ht="16.5" customHeight="1">
      <c r="A172" s="5"/>
      <c r="B172" s="5"/>
      <c r="C172" s="5"/>
      <c r="D172" s="39"/>
      <c r="E172" s="40"/>
      <c r="F172" s="39"/>
      <c r="G172" s="4"/>
      <c r="H172" s="5"/>
      <c r="I172" s="3"/>
      <c r="J172" s="3"/>
      <c r="K172" s="3"/>
      <c r="L172" s="3" t="str">
        <f>IFERROR(VLOOKUP(tblSOW7[[#This Row],[Employee name ]],[29]Parameters!CP:CS,4,0),"")</f>
        <v/>
      </c>
      <c r="M172" s="45"/>
      <c r="N172" s="5"/>
      <c r="O172" s="3"/>
      <c r="P172" s="8"/>
      <c r="Q172" s="8"/>
      <c r="R172" s="5"/>
      <c r="S172" s="5"/>
      <c r="T172" s="3"/>
      <c r="U172" s="3"/>
      <c r="V172" s="5"/>
      <c r="W172" s="5"/>
      <c r="X172" s="5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</row>
    <row r="173" spans="1:75" s="36" customFormat="1" ht="16.5" customHeight="1">
      <c r="A173" s="5"/>
      <c r="B173" s="5"/>
      <c r="C173" s="5"/>
      <c r="D173" s="39"/>
      <c r="E173" s="40"/>
      <c r="F173" s="39"/>
      <c r="G173" s="4"/>
      <c r="H173" s="5"/>
      <c r="I173" s="3"/>
      <c r="J173" s="3"/>
      <c r="K173" s="3"/>
      <c r="L173" s="3" t="str">
        <f>IFERROR(VLOOKUP(tblSOW7[[#This Row],[Employee name ]],[29]Parameters!CP:CS,4,0),"")</f>
        <v/>
      </c>
      <c r="M173" s="45"/>
      <c r="N173" s="5"/>
      <c r="O173" s="3"/>
      <c r="P173" s="8"/>
      <c r="Q173" s="8"/>
      <c r="R173" s="5"/>
      <c r="S173" s="5"/>
      <c r="T173" s="3"/>
      <c r="U173" s="3"/>
      <c r="V173" s="5"/>
      <c r="W173" s="5"/>
      <c r="X173" s="5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</row>
    <row r="174" spans="1:75" s="36" customFormat="1" ht="16.5" customHeight="1">
      <c r="A174" s="5"/>
      <c r="B174" s="5"/>
      <c r="C174" s="5"/>
      <c r="D174" s="39"/>
      <c r="E174" s="40"/>
      <c r="F174" s="39"/>
      <c r="G174" s="4"/>
      <c r="H174" s="5"/>
      <c r="I174" s="3"/>
      <c r="J174" s="3"/>
      <c r="K174" s="3"/>
      <c r="L174" s="3" t="str">
        <f>IFERROR(VLOOKUP(tblSOW7[[#This Row],[Employee name ]],[29]Parameters!CP:CS,4,0),"")</f>
        <v/>
      </c>
      <c r="M174" s="45"/>
      <c r="N174" s="5"/>
      <c r="O174" s="3"/>
      <c r="P174" s="8"/>
      <c r="Q174" s="8"/>
      <c r="R174" s="5"/>
      <c r="S174" s="5"/>
      <c r="T174" s="3"/>
      <c r="U174" s="3"/>
      <c r="V174" s="5"/>
      <c r="W174" s="5"/>
      <c r="X174" s="5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</row>
    <row r="175" spans="1:75" s="36" customFormat="1" ht="16.5" customHeight="1">
      <c r="A175" s="5"/>
      <c r="B175" s="5"/>
      <c r="C175" s="5"/>
      <c r="D175" s="39"/>
      <c r="E175" s="40"/>
      <c r="F175" s="39"/>
      <c r="G175" s="4"/>
      <c r="H175" s="5"/>
      <c r="I175" s="3"/>
      <c r="J175" s="3"/>
      <c r="K175" s="3"/>
      <c r="L175" s="3" t="str">
        <f>IFERROR(VLOOKUP(tblSOW7[[#This Row],[Employee name ]],[29]Parameters!CP:CS,4,0),"")</f>
        <v/>
      </c>
      <c r="M175" s="45"/>
      <c r="N175" s="5"/>
      <c r="O175" s="3"/>
      <c r="P175" s="8"/>
      <c r="Q175" s="8"/>
      <c r="R175" s="5"/>
      <c r="S175" s="5"/>
      <c r="T175" s="3"/>
      <c r="U175" s="3"/>
      <c r="V175" s="5"/>
      <c r="W175" s="5"/>
      <c r="X175" s="5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</row>
    <row r="176" spans="1:75" s="36" customFormat="1" ht="16.5" customHeight="1">
      <c r="A176" s="5"/>
      <c r="B176" s="5"/>
      <c r="C176" s="5"/>
      <c r="D176" s="39"/>
      <c r="E176" s="40"/>
      <c r="F176" s="39"/>
      <c r="G176" s="4"/>
      <c r="H176" s="5"/>
      <c r="I176" s="3"/>
      <c r="J176" s="3"/>
      <c r="K176" s="3"/>
      <c r="L176" s="3" t="str">
        <f>IFERROR(VLOOKUP(tblSOW7[[#This Row],[Employee name ]],[29]Parameters!CP:CS,4,0),"")</f>
        <v/>
      </c>
      <c r="M176" s="45"/>
      <c r="N176" s="5"/>
      <c r="O176" s="3"/>
      <c r="P176" s="8"/>
      <c r="Q176" s="8"/>
      <c r="R176" s="5"/>
      <c r="S176" s="5"/>
      <c r="T176" s="3"/>
      <c r="U176" s="3"/>
      <c r="V176" s="5"/>
      <c r="W176" s="5"/>
      <c r="X176" s="5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</row>
    <row r="177" spans="1:75" s="36" customFormat="1" ht="16.5" customHeight="1">
      <c r="A177" s="5"/>
      <c r="B177" s="5"/>
      <c r="C177" s="5"/>
      <c r="D177" s="39"/>
      <c r="E177" s="40"/>
      <c r="F177" s="39"/>
      <c r="G177" s="4"/>
      <c r="H177" s="5"/>
      <c r="I177" s="3"/>
      <c r="J177" s="3"/>
      <c r="K177" s="3"/>
      <c r="L177" s="3" t="str">
        <f>IFERROR(VLOOKUP(tblSOW7[[#This Row],[Employee name ]],[29]Parameters!CP:CS,4,0),"")</f>
        <v/>
      </c>
      <c r="M177" s="45"/>
      <c r="N177" s="5"/>
      <c r="O177" s="3"/>
      <c r="P177" s="8"/>
      <c r="Q177" s="8"/>
      <c r="R177" s="5"/>
      <c r="S177" s="5"/>
      <c r="T177" s="3"/>
      <c r="U177" s="3"/>
      <c r="V177" s="5"/>
      <c r="W177" s="5"/>
      <c r="X177" s="5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</row>
    <row r="178" spans="1:75" s="36" customFormat="1" ht="16.5" customHeight="1">
      <c r="A178" s="5"/>
      <c r="B178" s="5"/>
      <c r="C178" s="5"/>
      <c r="D178" s="39"/>
      <c r="E178" s="40"/>
      <c r="F178" s="39"/>
      <c r="G178" s="4"/>
      <c r="H178" s="5"/>
      <c r="I178" s="3"/>
      <c r="J178" s="3"/>
      <c r="K178" s="3"/>
      <c r="L178" s="3" t="str">
        <f>IFERROR(VLOOKUP(tblSOW7[[#This Row],[Employee name ]],[29]Parameters!CP:CS,4,0),"")</f>
        <v/>
      </c>
      <c r="M178" s="45"/>
      <c r="N178" s="5"/>
      <c r="O178" s="3"/>
      <c r="P178" s="8"/>
      <c r="Q178" s="8"/>
      <c r="R178" s="5"/>
      <c r="S178" s="5"/>
      <c r="T178" s="3"/>
      <c r="U178" s="3"/>
      <c r="V178" s="5"/>
      <c r="W178" s="5"/>
      <c r="X178" s="5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</row>
    <row r="179" spans="1:75" s="36" customFormat="1" ht="16.5" customHeight="1">
      <c r="A179" s="5"/>
      <c r="B179" s="5"/>
      <c r="C179" s="5"/>
      <c r="D179" s="39"/>
      <c r="E179" s="40"/>
      <c r="F179" s="39"/>
      <c r="G179" s="4"/>
      <c r="H179" s="5"/>
      <c r="I179" s="3"/>
      <c r="J179" s="3"/>
      <c r="K179" s="3"/>
      <c r="L179" s="3" t="str">
        <f>IFERROR(VLOOKUP(tblSOW7[[#This Row],[Employee name ]],[29]Parameters!CP:CS,4,0),"")</f>
        <v/>
      </c>
      <c r="M179" s="45"/>
      <c r="N179" s="5"/>
      <c r="O179" s="3"/>
      <c r="P179" s="8"/>
      <c r="Q179" s="8"/>
      <c r="R179" s="5"/>
      <c r="S179" s="5"/>
      <c r="T179" s="3"/>
      <c r="U179" s="3"/>
      <c r="V179" s="5"/>
      <c r="W179" s="5"/>
      <c r="X179" s="5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</row>
    <row r="180" spans="1:75" s="36" customFormat="1" ht="16.5" customHeight="1">
      <c r="A180" s="5"/>
      <c r="B180" s="5"/>
      <c r="C180" s="5"/>
      <c r="D180" s="39"/>
      <c r="E180" s="40"/>
      <c r="F180" s="39"/>
      <c r="G180" s="4"/>
      <c r="H180" s="5"/>
      <c r="I180" s="3"/>
      <c r="J180" s="3"/>
      <c r="K180" s="3"/>
      <c r="L180" s="3" t="str">
        <f>IFERROR(VLOOKUP(tblSOW7[[#This Row],[Employee name ]],[29]Parameters!CP:CS,4,0),"")</f>
        <v/>
      </c>
      <c r="M180" s="45"/>
      <c r="N180" s="5"/>
      <c r="O180" s="3"/>
      <c r="P180" s="8"/>
      <c r="Q180" s="8"/>
      <c r="R180" s="5"/>
      <c r="S180" s="5"/>
      <c r="T180" s="3"/>
      <c r="U180" s="3"/>
      <c r="V180" s="5"/>
      <c r="W180" s="5"/>
      <c r="X180" s="5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</row>
    <row r="181" spans="1:75" s="36" customFormat="1" ht="16.5" customHeight="1">
      <c r="A181" s="5"/>
      <c r="B181" s="5"/>
      <c r="C181" s="5"/>
      <c r="D181" s="39"/>
      <c r="E181" s="40"/>
      <c r="F181" s="39"/>
      <c r="G181" s="4"/>
      <c r="H181" s="5"/>
      <c r="I181" s="3"/>
      <c r="J181" s="3"/>
      <c r="K181" s="3"/>
      <c r="L181" s="3" t="str">
        <f>IFERROR(VLOOKUP(tblSOW7[[#This Row],[Employee name ]],[29]Parameters!CP:CS,4,0),"")</f>
        <v/>
      </c>
      <c r="M181" s="45"/>
      <c r="N181" s="5"/>
      <c r="O181" s="3"/>
      <c r="P181" s="8"/>
      <c r="Q181" s="8"/>
      <c r="R181" s="5"/>
      <c r="S181" s="5"/>
      <c r="T181" s="3"/>
      <c r="U181" s="3"/>
      <c r="V181" s="5"/>
      <c r="W181" s="5"/>
      <c r="X181" s="5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</row>
    <row r="182" spans="1:75" s="36" customFormat="1" ht="16.5" customHeight="1">
      <c r="A182" s="5"/>
      <c r="B182" s="5"/>
      <c r="C182" s="5"/>
      <c r="D182" s="39"/>
      <c r="E182" s="40"/>
      <c r="F182" s="39"/>
      <c r="G182" s="4"/>
      <c r="H182" s="5"/>
      <c r="I182" s="3"/>
      <c r="J182" s="3"/>
      <c r="K182" s="3"/>
      <c r="L182" s="3" t="str">
        <f>IFERROR(VLOOKUP(tblSOW7[[#This Row],[Employee name ]],[29]Parameters!CP:CS,4,0),"")</f>
        <v/>
      </c>
      <c r="M182" s="45"/>
      <c r="N182" s="5"/>
      <c r="O182" s="3"/>
      <c r="P182" s="8"/>
      <c r="Q182" s="8"/>
      <c r="R182" s="5"/>
      <c r="S182" s="5"/>
      <c r="T182" s="3"/>
      <c r="U182" s="3"/>
      <c r="V182" s="5"/>
      <c r="W182" s="5"/>
      <c r="X182" s="5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</row>
    <row r="183" spans="1:75" s="36" customFormat="1" ht="16.5" customHeight="1">
      <c r="A183" s="5"/>
      <c r="B183" s="5"/>
      <c r="C183" s="5"/>
      <c r="D183" s="39"/>
      <c r="E183" s="40"/>
      <c r="F183" s="39"/>
      <c r="G183" s="4"/>
      <c r="H183" s="5"/>
      <c r="I183" s="3"/>
      <c r="J183" s="3"/>
      <c r="K183" s="3"/>
      <c r="L183" s="3" t="str">
        <f>IFERROR(VLOOKUP(tblSOW7[[#This Row],[Employee name ]],[29]Parameters!CP:CS,4,0),"")</f>
        <v/>
      </c>
      <c r="M183" s="45"/>
      <c r="N183" s="5"/>
      <c r="O183" s="3"/>
      <c r="P183" s="8"/>
      <c r="Q183" s="8"/>
      <c r="R183" s="5"/>
      <c r="S183" s="5"/>
      <c r="T183" s="3"/>
      <c r="U183" s="3"/>
      <c r="V183" s="5"/>
      <c r="W183" s="5"/>
      <c r="X183" s="5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</row>
    <row r="184" spans="1:75" s="36" customFormat="1" ht="16.5" customHeight="1">
      <c r="A184" s="5"/>
      <c r="B184" s="5"/>
      <c r="C184" s="5"/>
      <c r="D184" s="39"/>
      <c r="E184" s="40"/>
      <c r="F184" s="39"/>
      <c r="G184" s="4"/>
      <c r="H184" s="5"/>
      <c r="I184" s="3"/>
      <c r="J184" s="3"/>
      <c r="K184" s="3"/>
      <c r="L184" s="3" t="str">
        <f>IFERROR(VLOOKUP(tblSOW7[[#This Row],[Employee name ]],[29]Parameters!CP:CS,4,0),"")</f>
        <v/>
      </c>
      <c r="M184" s="45"/>
      <c r="N184" s="5"/>
      <c r="O184" s="3"/>
      <c r="P184" s="8"/>
      <c r="Q184" s="8"/>
      <c r="R184" s="5"/>
      <c r="S184" s="5"/>
      <c r="T184" s="3"/>
      <c r="U184" s="3"/>
      <c r="V184" s="5"/>
      <c r="W184" s="5"/>
      <c r="X184" s="5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</row>
    <row r="185" spans="1:75" s="36" customFormat="1" ht="16.5" customHeight="1">
      <c r="A185" s="5"/>
      <c r="B185" s="5"/>
      <c r="C185" s="5"/>
      <c r="D185" s="39"/>
      <c r="E185" s="40"/>
      <c r="F185" s="39"/>
      <c r="G185" s="4"/>
      <c r="H185" s="5"/>
      <c r="I185" s="3"/>
      <c r="J185" s="3"/>
      <c r="K185" s="3"/>
      <c r="L185" s="3" t="str">
        <f>IFERROR(VLOOKUP(tblSOW7[[#This Row],[Employee name ]],[29]Parameters!CP:CS,4,0),"")</f>
        <v/>
      </c>
      <c r="M185" s="45"/>
      <c r="N185" s="5"/>
      <c r="O185" s="3"/>
      <c r="P185" s="8"/>
      <c r="Q185" s="8"/>
      <c r="R185" s="5"/>
      <c r="S185" s="5"/>
      <c r="T185" s="3"/>
      <c r="U185" s="3"/>
      <c r="V185" s="5"/>
      <c r="W185" s="5"/>
      <c r="X185" s="5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</row>
    <row r="186" spans="1:75" s="36" customFormat="1" ht="16.5" customHeight="1">
      <c r="A186" s="5"/>
      <c r="B186" s="5"/>
      <c r="C186" s="5"/>
      <c r="D186" s="39"/>
      <c r="E186" s="40"/>
      <c r="F186" s="39"/>
      <c r="G186" s="4"/>
      <c r="H186" s="5"/>
      <c r="I186" s="3"/>
      <c r="J186" s="3"/>
      <c r="K186" s="3"/>
      <c r="L186" s="3" t="str">
        <f>IFERROR(VLOOKUP(tblSOW7[[#This Row],[Employee name ]],[29]Parameters!CP:CS,4,0),"")</f>
        <v/>
      </c>
      <c r="M186" s="45"/>
      <c r="N186" s="5"/>
      <c r="O186" s="3"/>
      <c r="P186" s="8"/>
      <c r="Q186" s="8"/>
      <c r="R186" s="5"/>
      <c r="S186" s="5"/>
      <c r="T186" s="3"/>
      <c r="U186" s="3"/>
      <c r="V186" s="5"/>
      <c r="W186" s="5"/>
      <c r="X186" s="5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</row>
    <row r="187" spans="1:75" s="36" customFormat="1" ht="16.5" customHeight="1">
      <c r="A187" s="5"/>
      <c r="B187" s="5"/>
      <c r="C187" s="5"/>
      <c r="D187" s="39"/>
      <c r="E187" s="40"/>
      <c r="F187" s="39"/>
      <c r="G187" s="4"/>
      <c r="H187" s="5"/>
      <c r="I187" s="3"/>
      <c r="J187" s="3"/>
      <c r="K187" s="3"/>
      <c r="L187" s="3" t="str">
        <f>IFERROR(VLOOKUP(tblSOW7[[#This Row],[Employee name ]],[29]Parameters!CP:CS,4,0),"")</f>
        <v/>
      </c>
      <c r="M187" s="45"/>
      <c r="N187" s="5"/>
      <c r="O187" s="3"/>
      <c r="P187" s="8"/>
      <c r="Q187" s="8"/>
      <c r="R187" s="5"/>
      <c r="S187" s="5"/>
      <c r="T187" s="3"/>
      <c r="U187" s="3"/>
      <c r="V187" s="5"/>
      <c r="W187" s="5"/>
      <c r="X187" s="5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</row>
    <row r="188" spans="1:75" s="36" customFormat="1" ht="16.5" customHeight="1">
      <c r="A188" s="5"/>
      <c r="B188" s="5"/>
      <c r="C188" s="5"/>
      <c r="D188" s="39"/>
      <c r="E188" s="40"/>
      <c r="F188" s="39"/>
      <c r="G188" s="4"/>
      <c r="H188" s="5"/>
      <c r="I188" s="3"/>
      <c r="J188" s="3"/>
      <c r="K188" s="3"/>
      <c r="L188" s="3" t="str">
        <f>IFERROR(VLOOKUP(tblSOW7[[#This Row],[Employee name ]],[29]Parameters!CP:CS,4,0),"")</f>
        <v/>
      </c>
      <c r="M188" s="45"/>
      <c r="N188" s="5"/>
      <c r="O188" s="3"/>
      <c r="P188" s="8"/>
      <c r="Q188" s="8"/>
      <c r="R188" s="5"/>
      <c r="S188" s="5"/>
      <c r="T188" s="3"/>
      <c r="U188" s="3"/>
      <c r="V188" s="5"/>
      <c r="W188" s="5"/>
      <c r="X188" s="5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</row>
    <row r="189" spans="1:75" s="36" customFormat="1" ht="16.5" customHeight="1">
      <c r="A189" s="5"/>
      <c r="B189" s="5"/>
      <c r="C189" s="5"/>
      <c r="D189" s="39"/>
      <c r="E189" s="40"/>
      <c r="F189" s="39"/>
      <c r="G189" s="4"/>
      <c r="H189" s="5"/>
      <c r="I189" s="3"/>
      <c r="J189" s="3"/>
      <c r="K189" s="3"/>
      <c r="L189" s="3" t="str">
        <f>IFERROR(VLOOKUP(tblSOW7[[#This Row],[Employee name ]],[29]Parameters!CP:CS,4,0),"")</f>
        <v/>
      </c>
      <c r="M189" s="45"/>
      <c r="N189" s="5"/>
      <c r="O189" s="3"/>
      <c r="P189" s="8"/>
      <c r="Q189" s="8"/>
      <c r="R189" s="5"/>
      <c r="S189" s="5"/>
      <c r="T189" s="3"/>
      <c r="U189" s="3"/>
      <c r="V189" s="5"/>
      <c r="W189" s="5"/>
      <c r="X189" s="5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</row>
    <row r="190" spans="1:75" s="36" customFormat="1" ht="16.5" customHeight="1">
      <c r="A190" s="5"/>
      <c r="B190" s="5"/>
      <c r="C190" s="5"/>
      <c r="D190" s="39"/>
      <c r="E190" s="40"/>
      <c r="F190" s="39"/>
      <c r="G190" s="4"/>
      <c r="H190" s="5"/>
      <c r="I190" s="3"/>
      <c r="J190" s="3"/>
      <c r="K190" s="3"/>
      <c r="L190" s="3" t="str">
        <f>IFERROR(VLOOKUP(tblSOW7[[#This Row],[Employee name ]],[29]Parameters!CP:CS,4,0),"")</f>
        <v/>
      </c>
      <c r="M190" s="45"/>
      <c r="N190" s="5"/>
      <c r="O190" s="3"/>
      <c r="P190" s="8"/>
      <c r="Q190" s="8"/>
      <c r="R190" s="5"/>
      <c r="S190" s="5"/>
      <c r="T190" s="3"/>
      <c r="U190" s="3"/>
      <c r="V190" s="5"/>
      <c r="W190" s="5"/>
      <c r="X190" s="5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</row>
    <row r="191" spans="1:75" s="36" customFormat="1" ht="16.5" customHeight="1">
      <c r="A191" s="5"/>
      <c r="B191" s="5"/>
      <c r="C191" s="5"/>
      <c r="D191" s="39"/>
      <c r="E191" s="40"/>
      <c r="F191" s="39"/>
      <c r="G191" s="4"/>
      <c r="H191" s="5"/>
      <c r="I191" s="3"/>
      <c r="J191" s="3"/>
      <c r="K191" s="3"/>
      <c r="L191" s="3" t="str">
        <f>IFERROR(VLOOKUP(tblSOW7[[#This Row],[Employee name ]],[29]Parameters!CP:CS,4,0),"")</f>
        <v/>
      </c>
      <c r="M191" s="45"/>
      <c r="N191" s="5"/>
      <c r="O191" s="3"/>
      <c r="P191" s="8"/>
      <c r="Q191" s="8"/>
      <c r="R191" s="5"/>
      <c r="S191" s="5"/>
      <c r="T191" s="3"/>
      <c r="U191" s="3"/>
      <c r="V191" s="5"/>
      <c r="W191" s="5"/>
      <c r="X191" s="5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</row>
    <row r="192" spans="1:75" s="36" customFormat="1" ht="16.5" customHeight="1">
      <c r="A192" s="5"/>
      <c r="B192" s="5"/>
      <c r="C192" s="5"/>
      <c r="D192" s="39"/>
      <c r="E192" s="40"/>
      <c r="F192" s="39"/>
      <c r="G192" s="4"/>
      <c r="H192" s="5"/>
      <c r="I192" s="3"/>
      <c r="J192" s="3"/>
      <c r="K192" s="3"/>
      <c r="L192" s="3" t="str">
        <f>IFERROR(VLOOKUP(tblSOW7[[#This Row],[Employee name ]],[29]Parameters!CP:CS,4,0),"")</f>
        <v/>
      </c>
      <c r="M192" s="45"/>
      <c r="N192" s="5"/>
      <c r="O192" s="3"/>
      <c r="P192" s="8"/>
      <c r="Q192" s="8"/>
      <c r="R192" s="5"/>
      <c r="S192" s="5"/>
      <c r="T192" s="3"/>
      <c r="U192" s="3"/>
      <c r="V192" s="5"/>
      <c r="W192" s="5"/>
      <c r="X192" s="5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</row>
    <row r="193" spans="1:75" s="36" customFormat="1" ht="16.5" customHeight="1">
      <c r="A193" s="5"/>
      <c r="B193" s="5"/>
      <c r="C193" s="5"/>
      <c r="D193" s="39"/>
      <c r="E193" s="40"/>
      <c r="F193" s="39"/>
      <c r="G193" s="4"/>
      <c r="H193" s="5"/>
      <c r="I193" s="3"/>
      <c r="J193" s="3"/>
      <c r="K193" s="3"/>
      <c r="L193" s="3" t="str">
        <f>IFERROR(VLOOKUP(tblSOW7[[#This Row],[Employee name ]],[29]Parameters!CP:CS,4,0),"")</f>
        <v/>
      </c>
      <c r="M193" s="45"/>
      <c r="N193" s="5"/>
      <c r="O193" s="3"/>
      <c r="P193" s="8"/>
      <c r="Q193" s="8"/>
      <c r="R193" s="5"/>
      <c r="S193" s="5"/>
      <c r="T193" s="3"/>
      <c r="U193" s="3"/>
      <c r="V193" s="5"/>
      <c r="W193" s="5"/>
      <c r="X193" s="5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</row>
    <row r="194" spans="1:75" s="36" customFormat="1" ht="16.5" customHeight="1">
      <c r="A194" s="5"/>
      <c r="B194" s="5"/>
      <c r="C194" s="5"/>
      <c r="D194" s="39"/>
      <c r="E194" s="40"/>
      <c r="F194" s="39"/>
      <c r="G194" s="4"/>
      <c r="H194" s="5"/>
      <c r="I194" s="3"/>
      <c r="J194" s="3"/>
      <c r="K194" s="3"/>
      <c r="L194" s="3" t="str">
        <f>IFERROR(VLOOKUP(tblSOW7[[#This Row],[Employee name ]],[29]Parameters!CP:CS,4,0),"")</f>
        <v/>
      </c>
      <c r="M194" s="45"/>
      <c r="N194" s="5"/>
      <c r="O194" s="3"/>
      <c r="P194" s="8"/>
      <c r="Q194" s="8"/>
      <c r="R194" s="5"/>
      <c r="S194" s="5"/>
      <c r="T194" s="3"/>
      <c r="U194" s="3"/>
      <c r="V194" s="5"/>
      <c r="W194" s="5"/>
      <c r="X194" s="5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</row>
    <row r="195" spans="1:75" s="36" customFormat="1" ht="16.5" customHeight="1">
      <c r="A195" s="5"/>
      <c r="B195" s="5"/>
      <c r="C195" s="5"/>
      <c r="D195" s="39"/>
      <c r="E195" s="40"/>
      <c r="F195" s="39"/>
      <c r="G195" s="4"/>
      <c r="H195" s="5"/>
      <c r="I195" s="3"/>
      <c r="J195" s="3"/>
      <c r="K195" s="3"/>
      <c r="L195" s="3" t="str">
        <f>IFERROR(VLOOKUP(tblSOW7[[#This Row],[Employee name ]],[29]Parameters!CP:CS,4,0),"")</f>
        <v/>
      </c>
      <c r="M195" s="45"/>
      <c r="N195" s="5"/>
      <c r="O195" s="3"/>
      <c r="P195" s="8"/>
      <c r="Q195" s="8"/>
      <c r="R195" s="5"/>
      <c r="S195" s="5"/>
      <c r="T195" s="3"/>
      <c r="U195" s="3"/>
      <c r="V195" s="5"/>
      <c r="W195" s="5"/>
      <c r="X195" s="5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</row>
    <row r="196" spans="1:75" s="36" customFormat="1" ht="16.5" customHeight="1">
      <c r="A196" s="5"/>
      <c r="B196" s="5"/>
      <c r="C196" s="5"/>
      <c r="D196" s="39"/>
      <c r="E196" s="40"/>
      <c r="F196" s="39"/>
      <c r="G196" s="4"/>
      <c r="H196" s="5"/>
      <c r="I196" s="3"/>
      <c r="J196" s="3"/>
      <c r="K196" s="3"/>
      <c r="L196" s="3" t="str">
        <f>IFERROR(VLOOKUP(tblSOW7[[#This Row],[Employee name ]],[29]Parameters!CP:CS,4,0),"")</f>
        <v/>
      </c>
      <c r="M196" s="45"/>
      <c r="N196" s="5"/>
      <c r="O196" s="3"/>
      <c r="P196" s="8"/>
      <c r="Q196" s="8"/>
      <c r="R196" s="5"/>
      <c r="S196" s="5"/>
      <c r="T196" s="3"/>
      <c r="U196" s="3"/>
      <c r="V196" s="5"/>
      <c r="W196" s="5"/>
      <c r="X196" s="5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</row>
    <row r="197" spans="1:75" s="36" customFormat="1" ht="16.5" customHeight="1">
      <c r="A197" s="5"/>
      <c r="B197" s="5"/>
      <c r="C197" s="5"/>
      <c r="D197" s="39"/>
      <c r="E197" s="40"/>
      <c r="F197" s="39"/>
      <c r="G197" s="4"/>
      <c r="H197" s="5"/>
      <c r="I197" s="3"/>
      <c r="J197" s="3"/>
      <c r="K197" s="3"/>
      <c r="L197" s="3" t="str">
        <f>IFERROR(VLOOKUP(tblSOW7[[#This Row],[Employee name ]],[29]Parameters!CP:CS,4,0),"")</f>
        <v/>
      </c>
      <c r="M197" s="45"/>
      <c r="N197" s="5"/>
      <c r="O197" s="3"/>
      <c r="P197" s="8"/>
      <c r="Q197" s="8"/>
      <c r="R197" s="5"/>
      <c r="S197" s="5"/>
      <c r="T197" s="3"/>
      <c r="U197" s="3"/>
      <c r="V197" s="5"/>
      <c r="W197" s="5"/>
      <c r="X197" s="5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</row>
    <row r="198" spans="1:75" s="36" customFormat="1" ht="16.5" customHeight="1">
      <c r="A198" s="5"/>
      <c r="B198" s="5"/>
      <c r="C198" s="5"/>
      <c r="D198" s="39"/>
      <c r="E198" s="40"/>
      <c r="F198" s="39"/>
      <c r="G198" s="4"/>
      <c r="H198" s="5"/>
      <c r="I198" s="3"/>
      <c r="J198" s="3"/>
      <c r="K198" s="3"/>
      <c r="L198" s="3" t="str">
        <f>IFERROR(VLOOKUP(tblSOW7[[#This Row],[Employee name ]],[29]Parameters!CP:CS,4,0),"")</f>
        <v/>
      </c>
      <c r="M198" s="45"/>
      <c r="N198" s="5"/>
      <c r="O198" s="3"/>
      <c r="P198" s="8"/>
      <c r="Q198" s="8"/>
      <c r="R198" s="5"/>
      <c r="S198" s="5"/>
      <c r="T198" s="3"/>
      <c r="U198" s="3"/>
      <c r="V198" s="5"/>
      <c r="W198" s="5"/>
      <c r="X198" s="5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</row>
    <row r="199" spans="1:75" s="36" customFormat="1" ht="16.5" customHeight="1">
      <c r="A199" s="5"/>
      <c r="B199" s="5"/>
      <c r="C199" s="5"/>
      <c r="D199" s="39"/>
      <c r="E199" s="40"/>
      <c r="F199" s="39"/>
      <c r="G199" s="4"/>
      <c r="H199" s="5"/>
      <c r="I199" s="3"/>
      <c r="J199" s="3"/>
      <c r="K199" s="3"/>
      <c r="L199" s="3" t="str">
        <f>IFERROR(VLOOKUP(tblSOW7[[#This Row],[Employee name ]],[29]Parameters!CP:CS,4,0),"")</f>
        <v/>
      </c>
      <c r="M199" s="45"/>
      <c r="N199" s="5"/>
      <c r="O199" s="3"/>
      <c r="P199" s="8"/>
      <c r="Q199" s="8"/>
      <c r="R199" s="5"/>
      <c r="S199" s="5"/>
      <c r="T199" s="3"/>
      <c r="U199" s="3"/>
      <c r="V199" s="5"/>
      <c r="W199" s="5"/>
      <c r="X199" s="5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</row>
    <row r="200" spans="1:75" s="36" customFormat="1" ht="16.5" customHeight="1">
      <c r="A200" s="5"/>
      <c r="B200" s="5"/>
      <c r="C200" s="5"/>
      <c r="D200" s="39"/>
      <c r="E200" s="40"/>
      <c r="F200" s="39"/>
      <c r="G200" s="4"/>
      <c r="H200" s="5"/>
      <c r="I200" s="3"/>
      <c r="J200" s="3"/>
      <c r="K200" s="3"/>
      <c r="L200" s="3" t="str">
        <f>IFERROR(VLOOKUP(tblSOW7[[#This Row],[Employee name ]],[29]Parameters!CP:CS,4,0),"")</f>
        <v/>
      </c>
      <c r="M200" s="45"/>
      <c r="N200" s="5"/>
      <c r="O200" s="3"/>
      <c r="P200" s="8"/>
      <c r="Q200" s="8"/>
      <c r="R200" s="5"/>
      <c r="S200" s="5"/>
      <c r="T200" s="3"/>
      <c r="U200" s="3"/>
      <c r="V200" s="5"/>
      <c r="W200" s="5"/>
      <c r="X200" s="5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</row>
    <row r="201" spans="1:75" s="36" customFormat="1" ht="16.5" customHeight="1">
      <c r="A201" s="5"/>
      <c r="B201" s="5"/>
      <c r="C201" s="5"/>
      <c r="D201" s="39"/>
      <c r="E201" s="40"/>
      <c r="F201" s="39"/>
      <c r="G201" s="4"/>
      <c r="H201" s="5"/>
      <c r="I201" s="3"/>
      <c r="J201" s="3"/>
      <c r="K201" s="3"/>
      <c r="L201" s="3" t="str">
        <f>IFERROR(VLOOKUP(tblSOW7[[#This Row],[Employee name ]],[29]Parameters!CP:CS,4,0),"")</f>
        <v/>
      </c>
      <c r="M201" s="45"/>
      <c r="N201" s="5"/>
      <c r="O201" s="3"/>
      <c r="P201" s="8"/>
      <c r="Q201" s="8"/>
      <c r="R201" s="5"/>
      <c r="S201" s="5"/>
      <c r="T201" s="3"/>
      <c r="U201" s="3"/>
      <c r="V201" s="5"/>
      <c r="W201" s="5"/>
      <c r="X201" s="5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</row>
    <row r="202" spans="1:75" s="36" customFormat="1" ht="16.5" customHeight="1">
      <c r="A202" s="5"/>
      <c r="B202" s="5"/>
      <c r="C202" s="5"/>
      <c r="D202" s="39"/>
      <c r="E202" s="40"/>
      <c r="F202" s="39"/>
      <c r="G202" s="4"/>
      <c r="H202" s="5"/>
      <c r="I202" s="3"/>
      <c r="J202" s="3"/>
      <c r="K202" s="3"/>
      <c r="L202" s="3" t="str">
        <f>IFERROR(VLOOKUP(tblSOW7[[#This Row],[Employee name ]],[29]Parameters!CP:CS,4,0),"")</f>
        <v/>
      </c>
      <c r="M202" s="45"/>
      <c r="N202" s="5"/>
      <c r="O202" s="3"/>
      <c r="P202" s="8"/>
      <c r="Q202" s="8"/>
      <c r="R202" s="5"/>
      <c r="S202" s="5"/>
      <c r="T202" s="3"/>
      <c r="U202" s="3"/>
      <c r="V202" s="5"/>
      <c r="W202" s="5"/>
      <c r="X202" s="5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</row>
    <row r="203" spans="1:75" s="36" customFormat="1" ht="16.5" customHeight="1">
      <c r="A203" s="5"/>
      <c r="B203" s="5"/>
      <c r="C203" s="5"/>
      <c r="D203" s="39"/>
      <c r="E203" s="40"/>
      <c r="F203" s="39"/>
      <c r="G203" s="4"/>
      <c r="H203" s="5"/>
      <c r="I203" s="3"/>
      <c r="J203" s="3"/>
      <c r="K203" s="3"/>
      <c r="L203" s="3" t="str">
        <f>IFERROR(VLOOKUP(tblSOW7[[#This Row],[Employee name ]],[29]Parameters!CP:CS,4,0),"")</f>
        <v/>
      </c>
      <c r="M203" s="45"/>
      <c r="N203" s="5"/>
      <c r="O203" s="3"/>
      <c r="P203" s="8"/>
      <c r="Q203" s="8"/>
      <c r="R203" s="5"/>
      <c r="S203" s="5"/>
      <c r="T203" s="3"/>
      <c r="U203" s="3"/>
      <c r="V203" s="5"/>
      <c r="W203" s="5"/>
      <c r="X203" s="5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</row>
    <row r="204" spans="1:75" s="36" customFormat="1" ht="16.5" customHeight="1">
      <c r="A204" s="5"/>
      <c r="B204" s="5"/>
      <c r="C204" s="5"/>
      <c r="D204" s="39"/>
      <c r="E204" s="40"/>
      <c r="F204" s="39"/>
      <c r="G204" s="4"/>
      <c r="H204" s="5"/>
      <c r="I204" s="3"/>
      <c r="J204" s="3"/>
      <c r="K204" s="3"/>
      <c r="L204" s="3" t="str">
        <f>IFERROR(VLOOKUP(tblSOW7[[#This Row],[Employee name ]],[29]Parameters!CP:CS,4,0),"")</f>
        <v/>
      </c>
      <c r="M204" s="45"/>
      <c r="N204" s="5"/>
      <c r="O204" s="3"/>
      <c r="P204" s="8"/>
      <c r="Q204" s="8"/>
      <c r="R204" s="5"/>
      <c r="S204" s="5"/>
      <c r="T204" s="3"/>
      <c r="U204" s="3"/>
      <c r="V204" s="5"/>
      <c r="W204" s="5"/>
      <c r="X204" s="5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</row>
    <row r="205" spans="1:75" s="36" customFormat="1" ht="16.5" customHeight="1">
      <c r="A205" s="5"/>
      <c r="B205" s="5"/>
      <c r="C205" s="5"/>
      <c r="D205" s="39"/>
      <c r="E205" s="40"/>
      <c r="F205" s="39"/>
      <c r="G205" s="4"/>
      <c r="H205" s="5"/>
      <c r="I205" s="3"/>
      <c r="J205" s="3"/>
      <c r="K205" s="3"/>
      <c r="L205" s="3" t="str">
        <f>IFERROR(VLOOKUP(tblSOW7[[#This Row],[Employee name ]],[29]Parameters!CP:CS,4,0),"")</f>
        <v/>
      </c>
      <c r="M205" s="45"/>
      <c r="N205" s="5"/>
      <c r="O205" s="3"/>
      <c r="P205" s="8"/>
      <c r="Q205" s="8"/>
      <c r="R205" s="5"/>
      <c r="S205" s="5"/>
      <c r="T205" s="3"/>
      <c r="U205" s="3"/>
      <c r="V205" s="5"/>
      <c r="W205" s="5"/>
      <c r="X205" s="5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</row>
    <row r="206" spans="1:75" s="36" customFormat="1" ht="16.5" customHeight="1">
      <c r="A206" s="5"/>
      <c r="B206" s="5"/>
      <c r="C206" s="5"/>
      <c r="D206" s="39"/>
      <c r="E206" s="40"/>
      <c r="F206" s="39"/>
      <c r="G206" s="4"/>
      <c r="H206" s="5"/>
      <c r="I206" s="3"/>
      <c r="J206" s="3"/>
      <c r="K206" s="3"/>
      <c r="L206" s="3" t="str">
        <f>IFERROR(VLOOKUP(tblSOW7[[#This Row],[Employee name ]],[29]Parameters!CP:CS,4,0),"")</f>
        <v/>
      </c>
      <c r="M206" s="45"/>
      <c r="N206" s="5"/>
      <c r="O206" s="3"/>
      <c r="P206" s="8"/>
      <c r="Q206" s="8"/>
      <c r="R206" s="5"/>
      <c r="S206" s="5"/>
      <c r="T206" s="3"/>
      <c r="U206" s="3"/>
      <c r="V206" s="5"/>
      <c r="W206" s="5"/>
      <c r="X206" s="5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</row>
    <row r="207" spans="1:75" s="36" customFormat="1" ht="16.5" customHeight="1">
      <c r="A207" s="5"/>
      <c r="B207" s="5"/>
      <c r="C207" s="5"/>
      <c r="D207" s="39"/>
      <c r="E207" s="40"/>
      <c r="F207" s="39"/>
      <c r="G207" s="4"/>
      <c r="H207" s="5"/>
      <c r="I207" s="3"/>
      <c r="J207" s="3"/>
      <c r="K207" s="3"/>
      <c r="L207" s="3" t="str">
        <f>IFERROR(VLOOKUP(tblSOW7[[#This Row],[Employee name ]],[29]Parameters!CP:CS,4,0),"")</f>
        <v/>
      </c>
      <c r="M207" s="45"/>
      <c r="N207" s="5"/>
      <c r="O207" s="3"/>
      <c r="P207" s="8"/>
      <c r="Q207" s="8"/>
      <c r="R207" s="5"/>
      <c r="S207" s="5"/>
      <c r="T207" s="3"/>
      <c r="U207" s="3"/>
      <c r="V207" s="5"/>
      <c r="W207" s="5"/>
      <c r="X207" s="5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</row>
    <row r="208" spans="1:75" s="36" customFormat="1" ht="16.5" customHeight="1">
      <c r="A208" s="5"/>
      <c r="B208" s="5"/>
      <c r="C208" s="5"/>
      <c r="D208" s="39"/>
      <c r="E208" s="40"/>
      <c r="F208" s="39"/>
      <c r="G208" s="4"/>
      <c r="H208" s="5"/>
      <c r="I208" s="3"/>
      <c r="J208" s="3"/>
      <c r="K208" s="3"/>
      <c r="L208" s="3" t="str">
        <f>IFERROR(VLOOKUP(tblSOW7[[#This Row],[Employee name ]],[29]Parameters!CP:CS,4,0),"")</f>
        <v/>
      </c>
      <c r="M208" s="45"/>
      <c r="N208" s="5"/>
      <c r="O208" s="3"/>
      <c r="P208" s="8"/>
      <c r="Q208" s="8"/>
      <c r="R208" s="5"/>
      <c r="S208" s="5"/>
      <c r="T208" s="3"/>
      <c r="U208" s="3"/>
      <c r="V208" s="5"/>
      <c r="W208" s="5"/>
      <c r="X208" s="5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</row>
    <row r="209" spans="1:75" s="36" customFormat="1" ht="16.5" customHeight="1">
      <c r="A209" s="5"/>
      <c r="B209" s="5"/>
      <c r="C209" s="5"/>
      <c r="D209" s="39"/>
      <c r="E209" s="40"/>
      <c r="F209" s="39"/>
      <c r="G209" s="4"/>
      <c r="H209" s="5"/>
      <c r="I209" s="3"/>
      <c r="J209" s="3"/>
      <c r="K209" s="3"/>
      <c r="L209" s="3" t="str">
        <f>IFERROR(VLOOKUP(tblSOW7[[#This Row],[Employee name ]],[29]Parameters!CP:CS,4,0),"")</f>
        <v/>
      </c>
      <c r="M209" s="45"/>
      <c r="N209" s="5"/>
      <c r="O209" s="3"/>
      <c r="P209" s="8"/>
      <c r="Q209" s="8"/>
      <c r="R209" s="5"/>
      <c r="S209" s="5"/>
      <c r="T209" s="3"/>
      <c r="U209" s="3"/>
      <c r="V209" s="5"/>
      <c r="W209" s="5"/>
      <c r="X209" s="5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</row>
    <row r="210" spans="1:75" s="36" customFormat="1" ht="16.5" customHeight="1">
      <c r="A210" s="5"/>
      <c r="B210" s="5"/>
      <c r="C210" s="5"/>
      <c r="D210" s="39"/>
      <c r="E210" s="40"/>
      <c r="F210" s="39"/>
      <c r="G210" s="4"/>
      <c r="H210" s="5"/>
      <c r="I210" s="3"/>
      <c r="J210" s="3"/>
      <c r="K210" s="3"/>
      <c r="L210" s="3" t="str">
        <f>IFERROR(VLOOKUP(tblSOW7[[#This Row],[Employee name ]],[29]Parameters!CP:CS,4,0),"")</f>
        <v/>
      </c>
      <c r="M210" s="45"/>
      <c r="N210" s="5"/>
      <c r="O210" s="3"/>
      <c r="P210" s="8"/>
      <c r="Q210" s="8"/>
      <c r="R210" s="5"/>
      <c r="S210" s="5"/>
      <c r="T210" s="3"/>
      <c r="U210" s="3"/>
      <c r="V210" s="5"/>
      <c r="W210" s="5"/>
      <c r="X210" s="5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</row>
    <row r="211" spans="1:75" s="36" customFormat="1" ht="16.5" customHeight="1">
      <c r="A211" s="5"/>
      <c r="B211" s="5"/>
      <c r="C211" s="5"/>
      <c r="D211" s="39"/>
      <c r="E211" s="40"/>
      <c r="F211" s="39"/>
      <c r="G211" s="4"/>
      <c r="H211" s="5"/>
      <c r="I211" s="3"/>
      <c r="J211" s="3"/>
      <c r="K211" s="3"/>
      <c r="L211" s="3" t="str">
        <f>IFERROR(VLOOKUP(tblSOW7[[#This Row],[Employee name ]],[29]Parameters!CP:CS,4,0),"")</f>
        <v/>
      </c>
      <c r="M211" s="45"/>
      <c r="N211" s="5"/>
      <c r="O211" s="3"/>
      <c r="P211" s="8"/>
      <c r="Q211" s="8"/>
      <c r="R211" s="5"/>
      <c r="S211" s="5"/>
      <c r="T211" s="3"/>
      <c r="U211" s="3"/>
      <c r="V211" s="5"/>
      <c r="W211" s="5"/>
      <c r="X211" s="5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</row>
    <row r="212" spans="1:75" s="36" customFormat="1" ht="16.5" customHeight="1">
      <c r="A212" s="5"/>
      <c r="B212" s="5"/>
      <c r="C212" s="5"/>
      <c r="D212" s="39"/>
      <c r="E212" s="40"/>
      <c r="F212" s="39"/>
      <c r="G212" s="4"/>
      <c r="H212" s="5"/>
      <c r="I212" s="3"/>
      <c r="J212" s="3"/>
      <c r="K212" s="3"/>
      <c r="L212" s="3" t="str">
        <f>IFERROR(VLOOKUP(tblSOW7[[#This Row],[Employee name ]],[29]Parameters!CP:CS,4,0),"")</f>
        <v/>
      </c>
      <c r="M212" s="45"/>
      <c r="N212" s="5"/>
      <c r="O212" s="3"/>
      <c r="P212" s="8"/>
      <c r="Q212" s="8"/>
      <c r="R212" s="5"/>
      <c r="S212" s="5"/>
      <c r="T212" s="3"/>
      <c r="U212" s="3"/>
      <c r="V212" s="5"/>
      <c r="W212" s="5"/>
      <c r="X212" s="5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</row>
    <row r="213" spans="1:75" s="36" customFormat="1" ht="16.5" customHeight="1">
      <c r="A213" s="5"/>
      <c r="B213" s="5"/>
      <c r="C213" s="5"/>
      <c r="D213" s="39"/>
      <c r="E213" s="40"/>
      <c r="F213" s="39"/>
      <c r="G213" s="4"/>
      <c r="H213" s="5"/>
      <c r="I213" s="3"/>
      <c r="J213" s="3"/>
      <c r="K213" s="3"/>
      <c r="L213" s="3" t="str">
        <f>IFERROR(VLOOKUP(tblSOW7[[#This Row],[Employee name ]],[29]Parameters!CP:CS,4,0),"")</f>
        <v/>
      </c>
      <c r="M213" s="45"/>
      <c r="N213" s="5"/>
      <c r="O213" s="3"/>
      <c r="P213" s="8"/>
      <c r="Q213" s="8"/>
      <c r="R213" s="5"/>
      <c r="S213" s="5"/>
      <c r="T213" s="3"/>
      <c r="U213" s="3"/>
      <c r="V213" s="5"/>
      <c r="W213" s="5"/>
      <c r="X213" s="5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3"/>
      <c r="BW213" s="43"/>
    </row>
    <row r="214" spans="1:75" s="36" customFormat="1" ht="16.5" customHeight="1">
      <c r="A214" s="5"/>
      <c r="B214" s="5"/>
      <c r="C214" s="5"/>
      <c r="D214" s="39"/>
      <c r="E214" s="40"/>
      <c r="F214" s="39"/>
      <c r="G214" s="4"/>
      <c r="H214" s="5"/>
      <c r="I214" s="3"/>
      <c r="J214" s="3"/>
      <c r="K214" s="3"/>
      <c r="L214" s="3" t="str">
        <f>IFERROR(VLOOKUP(tblSOW7[[#This Row],[Employee name ]],[29]Parameters!CP:CS,4,0),"")</f>
        <v/>
      </c>
      <c r="M214" s="45"/>
      <c r="N214" s="5"/>
      <c r="O214" s="3"/>
      <c r="P214" s="8"/>
      <c r="Q214" s="8"/>
      <c r="R214" s="5"/>
      <c r="S214" s="5"/>
      <c r="T214" s="3"/>
      <c r="U214" s="3"/>
      <c r="V214" s="5"/>
      <c r="W214" s="5"/>
      <c r="X214" s="5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  <c r="BQ214" s="43"/>
      <c r="BR214" s="43"/>
      <c r="BS214" s="43"/>
      <c r="BT214" s="43"/>
      <c r="BU214" s="43"/>
      <c r="BV214" s="43"/>
      <c r="BW214" s="43"/>
    </row>
    <row r="215" spans="1:75" s="36" customFormat="1" ht="16.5" customHeight="1">
      <c r="A215" s="5"/>
      <c r="B215" s="5"/>
      <c r="C215" s="5"/>
      <c r="D215" s="39"/>
      <c r="E215" s="40"/>
      <c r="F215" s="39"/>
      <c r="G215" s="4"/>
      <c r="H215" s="5"/>
      <c r="I215" s="3"/>
      <c r="J215" s="3"/>
      <c r="K215" s="3"/>
      <c r="L215" s="3" t="str">
        <f>IFERROR(VLOOKUP(tblSOW7[[#This Row],[Employee name ]],[29]Parameters!CP:CS,4,0),"")</f>
        <v/>
      </c>
      <c r="M215" s="45"/>
      <c r="N215" s="5"/>
      <c r="O215" s="3"/>
      <c r="P215" s="8"/>
      <c r="Q215" s="8"/>
      <c r="R215" s="5"/>
      <c r="S215" s="5"/>
      <c r="T215" s="3"/>
      <c r="U215" s="3"/>
      <c r="V215" s="5"/>
      <c r="W215" s="5"/>
      <c r="X215" s="5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  <c r="BQ215" s="43"/>
      <c r="BR215" s="43"/>
      <c r="BS215" s="43"/>
      <c r="BT215" s="43"/>
      <c r="BU215" s="43"/>
      <c r="BV215" s="43"/>
      <c r="BW215" s="43"/>
    </row>
    <row r="216" spans="1:75" s="36" customFormat="1" ht="16.5" customHeight="1">
      <c r="A216" s="5"/>
      <c r="B216" s="5"/>
      <c r="C216" s="5"/>
      <c r="D216" s="39"/>
      <c r="E216" s="40"/>
      <c r="F216" s="39"/>
      <c r="G216" s="4"/>
      <c r="H216" s="5"/>
      <c r="I216" s="3"/>
      <c r="J216" s="3"/>
      <c r="K216" s="3"/>
      <c r="L216" s="3" t="str">
        <f>IFERROR(VLOOKUP(tblSOW7[[#This Row],[Employee name ]],[29]Parameters!CP:CS,4,0),"")</f>
        <v/>
      </c>
      <c r="M216" s="45"/>
      <c r="N216" s="5"/>
      <c r="O216" s="3"/>
      <c r="P216" s="8"/>
      <c r="Q216" s="8"/>
      <c r="R216" s="5"/>
      <c r="S216" s="5"/>
      <c r="T216" s="3"/>
      <c r="U216" s="3"/>
      <c r="V216" s="5"/>
      <c r="W216" s="5"/>
      <c r="X216" s="5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43"/>
      <c r="BL216" s="43"/>
      <c r="BM216" s="43"/>
      <c r="BN216" s="43"/>
      <c r="BO216" s="43"/>
      <c r="BP216" s="43"/>
      <c r="BQ216" s="43"/>
      <c r="BR216" s="43"/>
      <c r="BS216" s="43"/>
      <c r="BT216" s="43"/>
      <c r="BU216" s="43"/>
      <c r="BV216" s="43"/>
      <c r="BW216" s="43"/>
    </row>
    <row r="217" spans="1:75" s="36" customFormat="1" ht="16.5" customHeight="1">
      <c r="A217" s="5"/>
      <c r="B217" s="5"/>
      <c r="C217" s="5"/>
      <c r="D217" s="39"/>
      <c r="E217" s="40"/>
      <c r="F217" s="39"/>
      <c r="G217" s="4"/>
      <c r="H217" s="5"/>
      <c r="I217" s="3"/>
      <c r="J217" s="3"/>
      <c r="K217" s="3"/>
      <c r="L217" s="3" t="str">
        <f>IFERROR(VLOOKUP(tblSOW7[[#This Row],[Employee name ]],[29]Parameters!CP:CS,4,0),"")</f>
        <v/>
      </c>
      <c r="M217" s="45"/>
      <c r="N217" s="5"/>
      <c r="O217" s="3"/>
      <c r="P217" s="8"/>
      <c r="Q217" s="8"/>
      <c r="R217" s="5"/>
      <c r="S217" s="5"/>
      <c r="T217" s="3"/>
      <c r="U217" s="3"/>
      <c r="V217" s="5"/>
      <c r="W217" s="5"/>
      <c r="X217" s="5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43"/>
      <c r="BL217" s="43"/>
      <c r="BM217" s="43"/>
      <c r="BN217" s="43"/>
      <c r="BO217" s="43"/>
      <c r="BP217" s="43"/>
      <c r="BQ217" s="43"/>
      <c r="BR217" s="43"/>
      <c r="BS217" s="43"/>
      <c r="BT217" s="43"/>
      <c r="BU217" s="43"/>
      <c r="BV217" s="43"/>
      <c r="BW217" s="43"/>
    </row>
    <row r="218" spans="1:75" s="36" customFormat="1" ht="16.5" customHeight="1">
      <c r="A218" s="5"/>
      <c r="B218" s="5"/>
      <c r="C218" s="5"/>
      <c r="D218" s="39"/>
      <c r="E218" s="40"/>
      <c r="F218" s="39"/>
      <c r="G218" s="4"/>
      <c r="H218" s="5"/>
      <c r="I218" s="3"/>
      <c r="J218" s="3"/>
      <c r="K218" s="3"/>
      <c r="L218" s="3" t="str">
        <f>IFERROR(VLOOKUP(tblSOW7[[#This Row],[Employee name ]],[29]Parameters!CP:CS,4,0),"")</f>
        <v/>
      </c>
      <c r="M218" s="45"/>
      <c r="N218" s="5"/>
      <c r="O218" s="3"/>
      <c r="P218" s="8"/>
      <c r="Q218" s="8"/>
      <c r="R218" s="5"/>
      <c r="S218" s="5"/>
      <c r="T218" s="3"/>
      <c r="U218" s="3"/>
      <c r="V218" s="5"/>
      <c r="W218" s="5"/>
      <c r="X218" s="5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  <c r="BP218" s="43"/>
      <c r="BQ218" s="43"/>
      <c r="BR218" s="43"/>
      <c r="BS218" s="43"/>
      <c r="BT218" s="43"/>
      <c r="BU218" s="43"/>
      <c r="BV218" s="43"/>
      <c r="BW218" s="43"/>
    </row>
    <row r="219" spans="1:75" s="36" customFormat="1" ht="16.5" customHeight="1">
      <c r="A219" s="5"/>
      <c r="B219" s="5"/>
      <c r="C219" s="5"/>
      <c r="D219" s="39"/>
      <c r="E219" s="40"/>
      <c r="F219" s="39"/>
      <c r="G219" s="4"/>
      <c r="H219" s="5"/>
      <c r="I219" s="3"/>
      <c r="J219" s="3"/>
      <c r="K219" s="3"/>
      <c r="L219" s="3" t="str">
        <f>IFERROR(VLOOKUP(tblSOW7[[#This Row],[Employee name ]],[29]Parameters!CP:CS,4,0),"")</f>
        <v/>
      </c>
      <c r="M219" s="45"/>
      <c r="N219" s="5"/>
      <c r="O219" s="3"/>
      <c r="P219" s="8"/>
      <c r="Q219" s="8"/>
      <c r="R219" s="5"/>
      <c r="S219" s="5"/>
      <c r="T219" s="3"/>
      <c r="U219" s="3"/>
      <c r="V219" s="5"/>
      <c r="W219" s="5"/>
      <c r="X219" s="5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43"/>
      <c r="BL219" s="43"/>
      <c r="BM219" s="43"/>
      <c r="BN219" s="43"/>
      <c r="BO219" s="43"/>
      <c r="BP219" s="43"/>
      <c r="BQ219" s="43"/>
      <c r="BR219" s="43"/>
      <c r="BS219" s="43"/>
      <c r="BT219" s="43"/>
      <c r="BU219" s="43"/>
      <c r="BV219" s="43"/>
      <c r="BW219" s="43"/>
    </row>
    <row r="220" spans="1:75" s="36" customFormat="1" ht="16.5" customHeight="1">
      <c r="A220" s="5"/>
      <c r="B220" s="5"/>
      <c r="C220" s="5"/>
      <c r="D220" s="39"/>
      <c r="E220" s="40"/>
      <c r="F220" s="39"/>
      <c r="G220" s="4"/>
      <c r="H220" s="5"/>
      <c r="I220" s="3"/>
      <c r="J220" s="3"/>
      <c r="K220" s="3"/>
      <c r="L220" s="3" t="str">
        <f>IFERROR(VLOOKUP(tblSOW7[[#This Row],[Employee name ]],[29]Parameters!CP:CS,4,0),"")</f>
        <v/>
      </c>
      <c r="M220" s="45"/>
      <c r="N220" s="5"/>
      <c r="O220" s="3"/>
      <c r="P220" s="8"/>
      <c r="Q220" s="8"/>
      <c r="R220" s="5"/>
      <c r="S220" s="5"/>
      <c r="T220" s="3"/>
      <c r="U220" s="3"/>
      <c r="V220" s="5"/>
      <c r="W220" s="5"/>
      <c r="X220" s="5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  <c r="BO220" s="43"/>
      <c r="BP220" s="43"/>
      <c r="BQ220" s="43"/>
      <c r="BR220" s="43"/>
      <c r="BS220" s="43"/>
      <c r="BT220" s="43"/>
      <c r="BU220" s="43"/>
      <c r="BV220" s="43"/>
      <c r="BW220" s="43"/>
    </row>
    <row r="221" spans="1:75" s="36" customFormat="1" ht="16.5" customHeight="1">
      <c r="A221" s="5"/>
      <c r="B221" s="5"/>
      <c r="C221" s="5"/>
      <c r="D221" s="39"/>
      <c r="E221" s="40"/>
      <c r="F221" s="39"/>
      <c r="G221" s="4"/>
      <c r="H221" s="5"/>
      <c r="I221" s="3"/>
      <c r="J221" s="3"/>
      <c r="K221" s="3"/>
      <c r="L221" s="3" t="str">
        <f>IFERROR(VLOOKUP(tblSOW7[[#This Row],[Employee name ]],[29]Parameters!CP:CS,4,0),"")</f>
        <v/>
      </c>
      <c r="M221" s="45"/>
      <c r="N221" s="5"/>
      <c r="O221" s="3"/>
      <c r="P221" s="8"/>
      <c r="Q221" s="8"/>
      <c r="R221" s="5"/>
      <c r="S221" s="5"/>
      <c r="T221" s="3"/>
      <c r="U221" s="3"/>
      <c r="V221" s="5"/>
      <c r="W221" s="5"/>
      <c r="X221" s="5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</row>
    <row r="222" spans="1:75" s="36" customFormat="1" ht="16.5" customHeight="1">
      <c r="A222" s="5"/>
      <c r="B222" s="5"/>
      <c r="C222" s="5"/>
      <c r="D222" s="39"/>
      <c r="E222" s="40"/>
      <c r="F222" s="39"/>
      <c r="G222" s="4"/>
      <c r="H222" s="5"/>
      <c r="I222" s="3"/>
      <c r="J222" s="3"/>
      <c r="K222" s="3"/>
      <c r="L222" s="3" t="str">
        <f>IFERROR(VLOOKUP(tblSOW7[[#This Row],[Employee name ]],[29]Parameters!CP:CS,4,0),"")</f>
        <v/>
      </c>
      <c r="M222" s="45"/>
      <c r="N222" s="5"/>
      <c r="O222" s="3"/>
      <c r="P222" s="8"/>
      <c r="Q222" s="8"/>
      <c r="R222" s="5"/>
      <c r="S222" s="5"/>
      <c r="T222" s="3"/>
      <c r="U222" s="3"/>
      <c r="V222" s="5"/>
      <c r="W222" s="5"/>
      <c r="X222" s="5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</row>
    <row r="223" spans="1:75" s="36" customFormat="1" ht="16.5" customHeight="1">
      <c r="A223" s="5"/>
      <c r="B223" s="5"/>
      <c r="C223" s="5"/>
      <c r="D223" s="39"/>
      <c r="E223" s="40"/>
      <c r="F223" s="39"/>
      <c r="G223" s="4"/>
      <c r="H223" s="5"/>
      <c r="I223" s="3"/>
      <c r="J223" s="3"/>
      <c r="K223" s="3"/>
      <c r="L223" s="3" t="str">
        <f>IFERROR(VLOOKUP(tblSOW7[[#This Row],[Employee name ]],[29]Parameters!CP:CS,4,0),"")</f>
        <v/>
      </c>
      <c r="M223" s="45"/>
      <c r="N223" s="5"/>
      <c r="O223" s="3"/>
      <c r="P223" s="8"/>
      <c r="Q223" s="8"/>
      <c r="R223" s="5"/>
      <c r="S223" s="5"/>
      <c r="T223" s="3"/>
      <c r="U223" s="3"/>
      <c r="V223" s="5"/>
      <c r="W223" s="5"/>
      <c r="X223" s="5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  <c r="BM223" s="43"/>
      <c r="BN223" s="43"/>
      <c r="BO223" s="43"/>
      <c r="BP223" s="43"/>
      <c r="BQ223" s="43"/>
      <c r="BR223" s="43"/>
      <c r="BS223" s="43"/>
      <c r="BT223" s="43"/>
      <c r="BU223" s="43"/>
      <c r="BV223" s="43"/>
      <c r="BW223" s="43"/>
    </row>
    <row r="224" spans="1:75" s="36" customFormat="1" ht="16.5" customHeight="1">
      <c r="A224" s="5"/>
      <c r="B224" s="5"/>
      <c r="C224" s="5"/>
      <c r="D224" s="39"/>
      <c r="E224" s="40"/>
      <c r="F224" s="39"/>
      <c r="G224" s="4"/>
      <c r="H224" s="5"/>
      <c r="I224" s="3"/>
      <c r="J224" s="3"/>
      <c r="K224" s="3"/>
      <c r="L224" s="3" t="str">
        <f>IFERROR(VLOOKUP(tblSOW7[[#This Row],[Employee name ]],[29]Parameters!CP:CS,4,0),"")</f>
        <v/>
      </c>
      <c r="M224" s="45"/>
      <c r="N224" s="5"/>
      <c r="O224" s="3"/>
      <c r="P224" s="8"/>
      <c r="Q224" s="8"/>
      <c r="R224" s="5"/>
      <c r="S224" s="5"/>
      <c r="T224" s="3"/>
      <c r="U224" s="3"/>
      <c r="V224" s="5"/>
      <c r="W224" s="5"/>
      <c r="X224" s="5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  <c r="BJ224" s="43"/>
      <c r="BK224" s="43"/>
      <c r="BL224" s="43"/>
      <c r="BM224" s="43"/>
      <c r="BN224" s="43"/>
      <c r="BO224" s="43"/>
      <c r="BP224" s="43"/>
      <c r="BQ224" s="43"/>
      <c r="BR224" s="43"/>
      <c r="BS224" s="43"/>
      <c r="BT224" s="43"/>
      <c r="BU224" s="43"/>
      <c r="BV224" s="43"/>
      <c r="BW224" s="43"/>
    </row>
    <row r="225" spans="1:75" s="36" customFormat="1" ht="16.5" customHeight="1">
      <c r="A225" s="5"/>
      <c r="B225" s="5"/>
      <c r="C225" s="5"/>
      <c r="D225" s="39"/>
      <c r="E225" s="40"/>
      <c r="F225" s="39"/>
      <c r="G225" s="4"/>
      <c r="H225" s="5"/>
      <c r="I225" s="3"/>
      <c r="J225" s="3"/>
      <c r="K225" s="3"/>
      <c r="L225" s="3" t="str">
        <f>IFERROR(VLOOKUP(tblSOW7[[#This Row],[Employee name ]],[29]Parameters!CP:CS,4,0),"")</f>
        <v/>
      </c>
      <c r="M225" s="45"/>
      <c r="N225" s="5"/>
      <c r="O225" s="3"/>
      <c r="P225" s="8"/>
      <c r="Q225" s="8"/>
      <c r="R225" s="5"/>
      <c r="S225" s="5"/>
      <c r="T225" s="3"/>
      <c r="U225" s="3"/>
      <c r="V225" s="5"/>
      <c r="W225" s="5"/>
      <c r="X225" s="5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</row>
    <row r="226" spans="1:75" s="36" customFormat="1" ht="16.5" customHeight="1">
      <c r="A226" s="5"/>
      <c r="B226" s="5"/>
      <c r="C226" s="5"/>
      <c r="D226" s="39"/>
      <c r="E226" s="40"/>
      <c r="F226" s="39"/>
      <c r="G226" s="4"/>
      <c r="H226" s="5"/>
      <c r="I226" s="3"/>
      <c r="J226" s="3"/>
      <c r="K226" s="3"/>
      <c r="L226" s="3" t="str">
        <f>IFERROR(VLOOKUP(tblSOW7[[#This Row],[Employee name ]],[29]Parameters!CP:CS,4,0),"")</f>
        <v/>
      </c>
      <c r="M226" s="45"/>
      <c r="N226" s="5"/>
      <c r="O226" s="3"/>
      <c r="P226" s="8"/>
      <c r="Q226" s="8"/>
      <c r="R226" s="5"/>
      <c r="S226" s="5"/>
      <c r="T226" s="3"/>
      <c r="U226" s="3"/>
      <c r="V226" s="5"/>
      <c r="W226" s="5"/>
      <c r="X226" s="5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  <c r="BJ226" s="43"/>
      <c r="BK226" s="43"/>
      <c r="BL226" s="43"/>
      <c r="BM226" s="43"/>
      <c r="BN226" s="43"/>
      <c r="BO226" s="43"/>
      <c r="BP226" s="43"/>
      <c r="BQ226" s="43"/>
      <c r="BR226" s="43"/>
      <c r="BS226" s="43"/>
      <c r="BT226" s="43"/>
      <c r="BU226" s="43"/>
      <c r="BV226" s="43"/>
      <c r="BW226" s="43"/>
    </row>
    <row r="227" spans="1:75" s="36" customFormat="1" ht="16.5" customHeight="1">
      <c r="A227" s="5"/>
      <c r="B227" s="5"/>
      <c r="C227" s="5"/>
      <c r="D227" s="39"/>
      <c r="E227" s="40"/>
      <c r="F227" s="39"/>
      <c r="G227" s="4"/>
      <c r="H227" s="5"/>
      <c r="I227" s="3"/>
      <c r="J227" s="3"/>
      <c r="K227" s="3"/>
      <c r="L227" s="3" t="str">
        <f>IFERROR(VLOOKUP(tblSOW7[[#This Row],[Employee name ]],[29]Parameters!CP:CS,4,0),"")</f>
        <v/>
      </c>
      <c r="M227" s="45"/>
      <c r="N227" s="5"/>
      <c r="O227" s="3"/>
      <c r="P227" s="8"/>
      <c r="Q227" s="8"/>
      <c r="R227" s="5"/>
      <c r="S227" s="5"/>
      <c r="T227" s="3"/>
      <c r="U227" s="3"/>
      <c r="V227" s="5"/>
      <c r="W227" s="5"/>
      <c r="X227" s="5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43"/>
      <c r="BL227" s="43"/>
      <c r="BM227" s="43"/>
      <c r="BN227" s="43"/>
      <c r="BO227" s="43"/>
      <c r="BP227" s="43"/>
      <c r="BQ227" s="43"/>
      <c r="BR227" s="43"/>
      <c r="BS227" s="43"/>
      <c r="BT227" s="43"/>
      <c r="BU227" s="43"/>
      <c r="BV227" s="43"/>
      <c r="BW227" s="43"/>
    </row>
    <row r="228" spans="1:75" s="36" customFormat="1" ht="16.5" customHeight="1">
      <c r="A228" s="5"/>
      <c r="B228" s="5"/>
      <c r="C228" s="5"/>
      <c r="D228" s="39"/>
      <c r="E228" s="40"/>
      <c r="F228" s="39"/>
      <c r="G228" s="4"/>
      <c r="H228" s="5"/>
      <c r="I228" s="3"/>
      <c r="J228" s="3"/>
      <c r="K228" s="3"/>
      <c r="L228" s="3" t="str">
        <f>IFERROR(VLOOKUP(tblSOW7[[#This Row],[Employee name ]],[29]Parameters!CP:CS,4,0),"")</f>
        <v/>
      </c>
      <c r="M228" s="45"/>
      <c r="N228" s="5"/>
      <c r="O228" s="3"/>
      <c r="P228" s="8"/>
      <c r="Q228" s="8"/>
      <c r="R228" s="5"/>
      <c r="S228" s="5"/>
      <c r="T228" s="3"/>
      <c r="U228" s="3"/>
      <c r="V228" s="5"/>
      <c r="W228" s="5"/>
      <c r="X228" s="5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  <c r="BI228" s="43"/>
      <c r="BJ228" s="43"/>
      <c r="BK228" s="43"/>
      <c r="BL228" s="43"/>
      <c r="BM228" s="43"/>
      <c r="BN228" s="43"/>
      <c r="BO228" s="43"/>
      <c r="BP228" s="43"/>
      <c r="BQ228" s="43"/>
      <c r="BR228" s="43"/>
      <c r="BS228" s="43"/>
      <c r="BT228" s="43"/>
      <c r="BU228" s="43"/>
      <c r="BV228" s="43"/>
      <c r="BW228" s="43"/>
    </row>
    <row r="229" spans="1:75" s="36" customFormat="1" ht="16.5" customHeight="1">
      <c r="A229" s="5"/>
      <c r="B229" s="5"/>
      <c r="C229" s="5"/>
      <c r="D229" s="39"/>
      <c r="E229" s="40"/>
      <c r="F229" s="39"/>
      <c r="G229" s="4"/>
      <c r="H229" s="5"/>
      <c r="I229" s="3"/>
      <c r="J229" s="3"/>
      <c r="K229" s="3"/>
      <c r="L229" s="3" t="str">
        <f>IFERROR(VLOOKUP(tblSOW7[[#This Row],[Employee name ]],[29]Parameters!CP:CS,4,0),"")</f>
        <v/>
      </c>
      <c r="M229" s="45"/>
      <c r="N229" s="5"/>
      <c r="O229" s="3"/>
      <c r="P229" s="8"/>
      <c r="Q229" s="8"/>
      <c r="R229" s="5"/>
      <c r="S229" s="5"/>
      <c r="T229" s="3"/>
      <c r="U229" s="3"/>
      <c r="V229" s="5"/>
      <c r="W229" s="5"/>
      <c r="X229" s="5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43"/>
      <c r="BL229" s="43"/>
      <c r="BM229" s="43"/>
      <c r="BN229" s="43"/>
      <c r="BO229" s="43"/>
      <c r="BP229" s="43"/>
      <c r="BQ229" s="43"/>
      <c r="BR229" s="43"/>
      <c r="BS229" s="43"/>
      <c r="BT229" s="43"/>
      <c r="BU229" s="43"/>
      <c r="BV229" s="43"/>
      <c r="BW229" s="43"/>
    </row>
    <row r="230" spans="1:75" s="36" customFormat="1" ht="16.5" customHeight="1">
      <c r="A230" s="5"/>
      <c r="B230" s="5"/>
      <c r="C230" s="5"/>
      <c r="D230" s="39"/>
      <c r="E230" s="40"/>
      <c r="F230" s="39"/>
      <c r="G230" s="4"/>
      <c r="H230" s="5"/>
      <c r="I230" s="3"/>
      <c r="J230" s="3"/>
      <c r="K230" s="3"/>
      <c r="L230" s="3" t="str">
        <f>IFERROR(VLOOKUP(tblSOW7[[#This Row],[Employee name ]],[29]Parameters!CP:CS,4,0),"")</f>
        <v/>
      </c>
      <c r="M230" s="45"/>
      <c r="N230" s="5"/>
      <c r="O230" s="3"/>
      <c r="P230" s="8"/>
      <c r="Q230" s="8"/>
      <c r="R230" s="5"/>
      <c r="S230" s="5"/>
      <c r="T230" s="3"/>
      <c r="U230" s="3"/>
      <c r="V230" s="5"/>
      <c r="W230" s="5"/>
      <c r="X230" s="5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  <c r="BJ230" s="43"/>
      <c r="BK230" s="43"/>
      <c r="BL230" s="43"/>
      <c r="BM230" s="43"/>
      <c r="BN230" s="43"/>
      <c r="BO230" s="43"/>
      <c r="BP230" s="43"/>
      <c r="BQ230" s="43"/>
      <c r="BR230" s="43"/>
      <c r="BS230" s="43"/>
      <c r="BT230" s="43"/>
      <c r="BU230" s="43"/>
      <c r="BV230" s="43"/>
      <c r="BW230" s="43"/>
    </row>
    <row r="231" spans="1:75" s="36" customFormat="1" ht="16.5" customHeight="1">
      <c r="A231" s="5"/>
      <c r="B231" s="5"/>
      <c r="C231" s="5"/>
      <c r="D231" s="39"/>
      <c r="E231" s="40"/>
      <c r="F231" s="39"/>
      <c r="G231" s="4"/>
      <c r="H231" s="5"/>
      <c r="I231" s="3"/>
      <c r="J231" s="3"/>
      <c r="K231" s="3"/>
      <c r="L231" s="3" t="str">
        <f>IFERROR(VLOOKUP(tblSOW7[[#This Row],[Employee name ]],[29]Parameters!CP:CS,4,0),"")</f>
        <v/>
      </c>
      <c r="M231" s="45"/>
      <c r="N231" s="5"/>
      <c r="O231" s="3"/>
      <c r="P231" s="8"/>
      <c r="Q231" s="8"/>
      <c r="R231" s="5"/>
      <c r="S231" s="5"/>
      <c r="T231" s="3"/>
      <c r="U231" s="3"/>
      <c r="V231" s="5"/>
      <c r="W231" s="5"/>
      <c r="X231" s="5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  <c r="BI231" s="43"/>
      <c r="BJ231" s="43"/>
      <c r="BK231" s="43"/>
      <c r="BL231" s="43"/>
      <c r="BM231" s="43"/>
      <c r="BN231" s="43"/>
      <c r="BO231" s="43"/>
      <c r="BP231" s="43"/>
      <c r="BQ231" s="43"/>
      <c r="BR231" s="43"/>
      <c r="BS231" s="43"/>
      <c r="BT231" s="43"/>
      <c r="BU231" s="43"/>
      <c r="BV231" s="43"/>
      <c r="BW231" s="43"/>
    </row>
    <row r="232" spans="1:75" s="36" customFormat="1" ht="16.5" customHeight="1">
      <c r="A232" s="5"/>
      <c r="B232" s="5"/>
      <c r="C232" s="5"/>
      <c r="D232" s="39"/>
      <c r="E232" s="40"/>
      <c r="F232" s="39"/>
      <c r="G232" s="4"/>
      <c r="H232" s="5"/>
      <c r="I232" s="3"/>
      <c r="J232" s="3"/>
      <c r="K232" s="3"/>
      <c r="L232" s="3" t="str">
        <f>IFERROR(VLOOKUP(tblSOW7[[#This Row],[Employee name ]],[29]Parameters!CP:CS,4,0),"")</f>
        <v/>
      </c>
      <c r="M232" s="45"/>
      <c r="N232" s="5"/>
      <c r="O232" s="3"/>
      <c r="P232" s="8"/>
      <c r="Q232" s="8"/>
      <c r="R232" s="5"/>
      <c r="S232" s="5"/>
      <c r="T232" s="3"/>
      <c r="U232" s="3"/>
      <c r="V232" s="5"/>
      <c r="W232" s="5"/>
      <c r="X232" s="5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  <c r="BI232" s="43"/>
      <c r="BJ232" s="43"/>
      <c r="BK232" s="43"/>
      <c r="BL232" s="43"/>
      <c r="BM232" s="43"/>
      <c r="BN232" s="43"/>
      <c r="BO232" s="43"/>
      <c r="BP232" s="43"/>
      <c r="BQ232" s="43"/>
      <c r="BR232" s="43"/>
      <c r="BS232" s="43"/>
      <c r="BT232" s="43"/>
      <c r="BU232" s="43"/>
      <c r="BV232" s="43"/>
      <c r="BW232" s="43"/>
    </row>
    <row r="233" spans="1:75" s="36" customFormat="1" ht="16.5" customHeight="1">
      <c r="A233" s="5"/>
      <c r="B233" s="5"/>
      <c r="C233" s="5"/>
      <c r="D233" s="39"/>
      <c r="E233" s="40"/>
      <c r="F233" s="39"/>
      <c r="G233" s="4"/>
      <c r="H233" s="5"/>
      <c r="I233" s="3"/>
      <c r="J233" s="3"/>
      <c r="K233" s="3"/>
      <c r="L233" s="3" t="str">
        <f>IFERROR(VLOOKUP(tblSOW7[[#This Row],[Employee name ]],[29]Parameters!CP:CS,4,0),"")</f>
        <v/>
      </c>
      <c r="M233" s="45"/>
      <c r="N233" s="5"/>
      <c r="O233" s="3"/>
      <c r="P233" s="8"/>
      <c r="Q233" s="8"/>
      <c r="R233" s="5"/>
      <c r="S233" s="5"/>
      <c r="T233" s="3"/>
      <c r="U233" s="3"/>
      <c r="V233" s="5"/>
      <c r="W233" s="5"/>
      <c r="X233" s="5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3"/>
      <c r="BJ233" s="43"/>
      <c r="BK233" s="43"/>
      <c r="BL233" s="43"/>
      <c r="BM233" s="43"/>
      <c r="BN233" s="43"/>
      <c r="BO233" s="43"/>
      <c r="BP233" s="43"/>
      <c r="BQ233" s="43"/>
      <c r="BR233" s="43"/>
      <c r="BS233" s="43"/>
      <c r="BT233" s="43"/>
      <c r="BU233" s="43"/>
      <c r="BV233" s="43"/>
      <c r="BW233" s="43"/>
    </row>
    <row r="234" spans="1:75" s="36" customFormat="1" ht="16.5" customHeight="1">
      <c r="A234" s="5"/>
      <c r="B234" s="5"/>
      <c r="C234" s="5"/>
      <c r="D234" s="39"/>
      <c r="E234" s="40"/>
      <c r="F234" s="39"/>
      <c r="G234" s="4"/>
      <c r="H234" s="5"/>
      <c r="I234" s="3"/>
      <c r="J234" s="3"/>
      <c r="K234" s="3"/>
      <c r="L234" s="3" t="str">
        <f>IFERROR(VLOOKUP(tblSOW7[[#This Row],[Employee name ]],[29]Parameters!CP:CS,4,0),"")</f>
        <v/>
      </c>
      <c r="M234" s="45"/>
      <c r="N234" s="5"/>
      <c r="O234" s="3"/>
      <c r="P234" s="8"/>
      <c r="Q234" s="8"/>
      <c r="R234" s="5"/>
      <c r="S234" s="5"/>
      <c r="T234" s="3"/>
      <c r="U234" s="3"/>
      <c r="V234" s="5"/>
      <c r="W234" s="5"/>
      <c r="X234" s="5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  <c r="BI234" s="43"/>
      <c r="BJ234" s="43"/>
      <c r="BK234" s="43"/>
      <c r="BL234" s="43"/>
      <c r="BM234" s="43"/>
      <c r="BN234" s="43"/>
      <c r="BO234" s="43"/>
      <c r="BP234" s="43"/>
      <c r="BQ234" s="43"/>
      <c r="BR234" s="43"/>
      <c r="BS234" s="43"/>
      <c r="BT234" s="43"/>
      <c r="BU234" s="43"/>
      <c r="BV234" s="43"/>
      <c r="BW234" s="43"/>
    </row>
    <row r="235" spans="1:75" s="36" customFormat="1" ht="16.5" customHeight="1">
      <c r="A235" s="5"/>
      <c r="B235" s="5"/>
      <c r="C235" s="5"/>
      <c r="D235" s="39"/>
      <c r="E235" s="40"/>
      <c r="F235" s="39"/>
      <c r="G235" s="4"/>
      <c r="H235" s="5"/>
      <c r="I235" s="3"/>
      <c r="J235" s="3"/>
      <c r="K235" s="3"/>
      <c r="L235" s="3" t="str">
        <f>IFERROR(VLOOKUP(tblSOW7[[#This Row],[Employee name ]],[29]Parameters!CP:CS,4,0),"")</f>
        <v/>
      </c>
      <c r="M235" s="45"/>
      <c r="N235" s="5"/>
      <c r="O235" s="3"/>
      <c r="P235" s="8"/>
      <c r="Q235" s="8"/>
      <c r="R235" s="5"/>
      <c r="S235" s="5"/>
      <c r="T235" s="3"/>
      <c r="U235" s="3"/>
      <c r="V235" s="5"/>
      <c r="W235" s="5"/>
      <c r="X235" s="5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  <c r="BJ235" s="43"/>
      <c r="BK235" s="43"/>
      <c r="BL235" s="43"/>
      <c r="BM235" s="43"/>
      <c r="BN235" s="43"/>
      <c r="BO235" s="43"/>
      <c r="BP235" s="43"/>
      <c r="BQ235" s="43"/>
      <c r="BR235" s="43"/>
      <c r="BS235" s="43"/>
      <c r="BT235" s="43"/>
      <c r="BU235" s="43"/>
      <c r="BV235" s="43"/>
      <c r="BW235" s="43"/>
    </row>
    <row r="236" spans="1:75" s="36" customFormat="1" ht="16.5" customHeight="1">
      <c r="A236" s="5"/>
      <c r="B236" s="5"/>
      <c r="C236" s="5"/>
      <c r="D236" s="39"/>
      <c r="E236" s="40"/>
      <c r="F236" s="39"/>
      <c r="G236" s="4"/>
      <c r="H236" s="5"/>
      <c r="I236" s="3"/>
      <c r="J236" s="3"/>
      <c r="K236" s="3"/>
      <c r="L236" s="3" t="str">
        <f>IFERROR(VLOOKUP(tblSOW7[[#This Row],[Employee name ]],[29]Parameters!CP:CS,4,0),"")</f>
        <v/>
      </c>
      <c r="M236" s="45"/>
      <c r="N236" s="5"/>
      <c r="O236" s="3"/>
      <c r="P236" s="8"/>
      <c r="Q236" s="8"/>
      <c r="R236" s="5"/>
      <c r="S236" s="5"/>
      <c r="T236" s="3"/>
      <c r="U236" s="3"/>
      <c r="V236" s="5"/>
      <c r="W236" s="5"/>
      <c r="X236" s="5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3"/>
      <c r="BJ236" s="43"/>
      <c r="BK236" s="43"/>
      <c r="BL236" s="43"/>
      <c r="BM236" s="43"/>
      <c r="BN236" s="43"/>
      <c r="BO236" s="43"/>
      <c r="BP236" s="43"/>
      <c r="BQ236" s="43"/>
      <c r="BR236" s="43"/>
      <c r="BS236" s="43"/>
      <c r="BT236" s="43"/>
      <c r="BU236" s="43"/>
      <c r="BV236" s="43"/>
      <c r="BW236" s="43"/>
    </row>
    <row r="237" spans="1:75" s="36" customFormat="1" ht="16.5" customHeight="1">
      <c r="A237" s="5"/>
      <c r="B237" s="5"/>
      <c r="C237" s="5"/>
      <c r="D237" s="39"/>
      <c r="E237" s="40"/>
      <c r="F237" s="39"/>
      <c r="G237" s="4"/>
      <c r="H237" s="5"/>
      <c r="I237" s="3"/>
      <c r="J237" s="3"/>
      <c r="K237" s="3"/>
      <c r="L237" s="3" t="str">
        <f>IFERROR(VLOOKUP(tblSOW7[[#This Row],[Employee name ]],[29]Parameters!CP:CS,4,0),"")</f>
        <v/>
      </c>
      <c r="M237" s="45"/>
      <c r="N237" s="5"/>
      <c r="O237" s="3"/>
      <c r="P237" s="8"/>
      <c r="Q237" s="8"/>
      <c r="R237" s="5"/>
      <c r="S237" s="5"/>
      <c r="T237" s="3"/>
      <c r="U237" s="3"/>
      <c r="V237" s="5"/>
      <c r="W237" s="5"/>
      <c r="X237" s="5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  <c r="BI237" s="43"/>
      <c r="BJ237" s="43"/>
      <c r="BK237" s="43"/>
      <c r="BL237" s="43"/>
      <c r="BM237" s="43"/>
      <c r="BN237" s="43"/>
      <c r="BO237" s="43"/>
      <c r="BP237" s="43"/>
      <c r="BQ237" s="43"/>
      <c r="BR237" s="43"/>
      <c r="BS237" s="43"/>
      <c r="BT237" s="43"/>
      <c r="BU237" s="43"/>
      <c r="BV237" s="43"/>
      <c r="BW237" s="43"/>
    </row>
    <row r="238" spans="1:75" s="36" customFormat="1" ht="16.5" customHeight="1">
      <c r="A238" s="5"/>
      <c r="B238" s="5"/>
      <c r="C238" s="5"/>
      <c r="D238" s="39"/>
      <c r="E238" s="40"/>
      <c r="F238" s="39"/>
      <c r="G238" s="4"/>
      <c r="H238" s="5"/>
      <c r="I238" s="3"/>
      <c r="J238" s="3"/>
      <c r="K238" s="3"/>
      <c r="L238" s="3" t="str">
        <f>IFERROR(VLOOKUP(tblSOW7[[#This Row],[Employee name ]],[29]Parameters!CP:CS,4,0),"")</f>
        <v/>
      </c>
      <c r="M238" s="45"/>
      <c r="N238" s="5"/>
      <c r="O238" s="3"/>
      <c r="P238" s="8"/>
      <c r="Q238" s="8"/>
      <c r="R238" s="5"/>
      <c r="S238" s="5"/>
      <c r="T238" s="3"/>
      <c r="U238" s="3"/>
      <c r="V238" s="5"/>
      <c r="W238" s="5"/>
      <c r="X238" s="5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  <c r="BC238" s="43"/>
      <c r="BD238" s="43"/>
      <c r="BE238" s="43"/>
      <c r="BF238" s="43"/>
      <c r="BG238" s="43"/>
      <c r="BH238" s="43"/>
      <c r="BI238" s="43"/>
      <c r="BJ238" s="43"/>
      <c r="BK238" s="43"/>
      <c r="BL238" s="43"/>
      <c r="BM238" s="43"/>
      <c r="BN238" s="43"/>
      <c r="BO238" s="43"/>
      <c r="BP238" s="43"/>
      <c r="BQ238" s="43"/>
      <c r="BR238" s="43"/>
      <c r="BS238" s="43"/>
      <c r="BT238" s="43"/>
      <c r="BU238" s="43"/>
      <c r="BV238" s="43"/>
      <c r="BW238" s="43"/>
    </row>
    <row r="239" spans="1:75" s="36" customFormat="1" ht="16.5" customHeight="1">
      <c r="A239" s="5"/>
      <c r="B239" s="5"/>
      <c r="C239" s="5"/>
      <c r="D239" s="39"/>
      <c r="E239" s="40"/>
      <c r="F239" s="39"/>
      <c r="G239" s="4"/>
      <c r="H239" s="5"/>
      <c r="I239" s="3"/>
      <c r="J239" s="3"/>
      <c r="K239" s="3"/>
      <c r="L239" s="3"/>
      <c r="M239" s="45"/>
      <c r="N239" s="5"/>
      <c r="O239" s="3"/>
      <c r="P239" s="8"/>
      <c r="Q239" s="8"/>
      <c r="R239" s="5"/>
      <c r="S239" s="5"/>
      <c r="T239" s="3"/>
      <c r="U239" s="3"/>
      <c r="V239" s="5"/>
      <c r="W239" s="5"/>
      <c r="X239" s="5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  <c r="BG239" s="43"/>
      <c r="BH239" s="43"/>
      <c r="BI239" s="43"/>
      <c r="BJ239" s="43"/>
      <c r="BK239" s="43"/>
      <c r="BL239" s="43"/>
      <c r="BM239" s="43"/>
      <c r="BN239" s="43"/>
      <c r="BO239" s="43"/>
      <c r="BP239" s="43"/>
      <c r="BQ239" s="43"/>
      <c r="BR239" s="43"/>
      <c r="BS239" s="43"/>
      <c r="BT239" s="43"/>
      <c r="BU239" s="43"/>
      <c r="BV239" s="43"/>
      <c r="BW239" s="43"/>
    </row>
    <row r="240" spans="1:75" s="66" customFormat="1">
      <c r="A240" s="65"/>
      <c r="D240" s="98"/>
      <c r="E240" s="65"/>
      <c r="F240" s="81"/>
      <c r="G240" s="65"/>
      <c r="H240" s="65"/>
      <c r="I240" s="65"/>
      <c r="J240" s="81"/>
      <c r="L240" s="5"/>
      <c r="M240" s="45"/>
      <c r="N240" s="5"/>
      <c r="O240" s="3"/>
      <c r="P240" s="8"/>
      <c r="Q240" s="8"/>
      <c r="R240" s="4"/>
      <c r="S240" s="4"/>
      <c r="T240" s="3"/>
      <c r="U240" s="3"/>
      <c r="V240" s="3"/>
      <c r="W240" s="3"/>
      <c r="X240" s="99"/>
      <c r="Y240" s="100">
        <f>SUBTOTAL(109,tblSOW7[Jan 2023 USD])</f>
        <v>32538.033919197751</v>
      </c>
      <c r="Z240" s="100">
        <f>SUBTOTAL(109,tblSOW7[Feb 2023 USD])</f>
        <v>38907.778446761142</v>
      </c>
      <c r="AA240" s="100">
        <f>SUBTOTAL(109,tblSOW7[Mar 2023 USD])</f>
        <v>45725.415403342857</v>
      </c>
      <c r="AB240" s="100">
        <f>SUBTOTAL(109,tblSOW7[Apr 2023 USD])</f>
        <v>22459.507047469499</v>
      </c>
      <c r="AC240" s="100">
        <f>SUBTOTAL(109,tblSOW7[May 2023 USD])</f>
        <v>16089.762519906111</v>
      </c>
      <c r="AD240" s="100">
        <f>SUBTOTAL(109,tblSOW7[Jun 2023 USD])</f>
        <v>17744.648933317934</v>
      </c>
      <c r="AE240" s="100">
        <f>SUBTOTAL(109,tblSOW7[Jul 2023 USD])</f>
        <v>25532.138372789894</v>
      </c>
      <c r="AF240" s="100">
        <f>SUBTOTAL(109,tblSOW7[Aug 2023 USD])</f>
        <v>30569.659377067313</v>
      </c>
      <c r="AG240" s="100">
        <f>SUBTOTAL(109,tblSOW7[Sep 2023 USD])</f>
        <v>23752.022420485606</v>
      </c>
      <c r="AH240" s="100">
        <f>SUBTOTAL(109,tblSOW7[Oct 2023 USD])</f>
        <v>29145.566615223881</v>
      </c>
      <c r="AI240" s="100">
        <f>SUBTOTAL(109,tblSOW7[Nov 2023 USD])</f>
        <v>20903.836896798744</v>
      </c>
      <c r="AJ240" s="100">
        <f>SUBTOTAL(109,tblSOW7[Dec 2023 USD])</f>
        <v>20903.836896798744</v>
      </c>
      <c r="AK240" s="100"/>
      <c r="AL240" s="100"/>
      <c r="AM240" s="100"/>
      <c r="AN240" s="100"/>
      <c r="AO240" s="100"/>
      <c r="AP240" s="100"/>
      <c r="AQ240" s="100"/>
      <c r="AR240" s="100"/>
      <c r="AS240" s="100"/>
      <c r="AT240" s="100"/>
      <c r="AU240" s="100"/>
      <c r="AV240" s="100"/>
      <c r="AW240" s="100"/>
      <c r="AX240" s="100"/>
      <c r="AY240" s="100"/>
      <c r="AZ240" s="100"/>
      <c r="BA240" s="100"/>
      <c r="BB240" s="100"/>
      <c r="BC240" s="100"/>
      <c r="BD240" s="100"/>
      <c r="BE240" s="100"/>
      <c r="BF240" s="100"/>
      <c r="BG240" s="100"/>
      <c r="BH240" s="100"/>
      <c r="BI240" s="100"/>
      <c r="BJ240" s="100"/>
      <c r="BK240" s="100"/>
      <c r="BL240" s="100"/>
      <c r="BM240" s="100"/>
      <c r="BN240" s="100"/>
      <c r="BO240" s="100"/>
      <c r="BP240" s="100"/>
      <c r="BQ240" s="100"/>
      <c r="BR240" s="100"/>
      <c r="BS240" s="100"/>
      <c r="BT240" s="100"/>
      <c r="BU240" s="100"/>
      <c r="BV240" s="100"/>
      <c r="BW240" s="101"/>
    </row>
  </sheetData>
  <dataConsolidate/>
  <conditionalFormatting sqref="BY4:BY239">
    <cfRule type="containsText" dxfId="15" priority="1" operator="containsText" text="False">
      <formula>NOT(ISERROR(SEARCH("False",BY4)))</formula>
    </cfRule>
  </conditionalFormatting>
  <conditionalFormatting sqref="BY1:BY2 CC240:CC1048576">
    <cfRule type="containsText" dxfId="14" priority="5" operator="containsText" text="False">
      <formula>NOT(ISERROR(SEARCH("False",BY1)))</formula>
    </cfRule>
  </conditionalFormatting>
  <conditionalFormatting sqref="BY3:BZ3">
    <cfRule type="containsText" dxfId="13" priority="4" operator="containsText" text="False">
      <formula>NOT(ISERROR(SEARCH("False",BY3)))</formula>
    </cfRule>
  </conditionalFormatting>
  <dataValidations count="2">
    <dataValidation type="list" allowBlank="1" showInputMessage="1" showErrorMessage="1" sqref="R4:R35" xr:uid="{DFC137F2-D119-43F3-86DB-EE54A6B388C0}">
      <formula1>#REF!</formula1>
    </dataValidation>
    <dataValidation type="list" allowBlank="1" showInputMessage="1" showErrorMessage="1" sqref="R36:R238" xr:uid="{CC5F7C99-A34C-4CC4-AF3D-172767C62460}">
      <formula1>#REF!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968B8-C93F-4B1D-B45E-8672187C58B1}">
  <sheetPr>
    <tabColor theme="5" tint="0.59999389629810485"/>
  </sheetPr>
  <dimension ref="A1:EX13"/>
  <sheetViews>
    <sheetView zoomScale="80" zoomScaleNormal="80" workbookViewId="0">
      <pane xSplit="1" ySplit="3" topLeftCell="B4" activePane="bottomRight" state="frozen"/>
      <selection activeCell="H54" sqref="H54"/>
      <selection pane="topRight" activeCell="H54" sqref="H54"/>
      <selection pane="bottomLeft" activeCell="H54" sqref="H54"/>
      <selection pane="bottomRight" activeCell="H7" sqref="H7"/>
    </sheetView>
  </sheetViews>
  <sheetFormatPr defaultColWidth="9" defaultRowHeight="14.4"/>
  <cols>
    <col min="1" max="1" width="24" style="5" customWidth="1"/>
    <col min="2" max="2" width="15" style="3" customWidth="1"/>
    <col min="3" max="3" width="15.44140625" style="3" bestFit="1" customWidth="1"/>
    <col min="4" max="4" width="13.44140625" style="4" bestFit="1" customWidth="1"/>
    <col min="5" max="5" width="20.44140625" style="4" bestFit="1" customWidth="1"/>
    <col min="6" max="6" width="21.44140625" style="4" customWidth="1"/>
    <col min="7" max="7" width="9.88671875" style="4" hidden="1" customWidth="1"/>
    <col min="8" max="8" width="17.44140625" style="5" bestFit="1" customWidth="1"/>
    <col min="9" max="9" width="26.109375" style="3" customWidth="1"/>
    <col min="10" max="10" width="43" bestFit="1" customWidth="1"/>
    <col min="11" max="11" width="33" style="3" bestFit="1" customWidth="1"/>
    <col min="12" max="12" width="24.44140625" customWidth="1"/>
    <col min="13" max="13" width="21.44140625" style="63" customWidth="1"/>
    <col min="14" max="14" width="21.44140625" customWidth="1"/>
    <col min="15" max="15" width="20.109375" style="85" customWidth="1"/>
    <col min="16" max="16" width="16.88671875" style="8" customWidth="1"/>
    <col min="17" max="17" width="24" style="8" customWidth="1"/>
    <col min="18" max="19" width="9.109375" customWidth="1"/>
    <col min="20" max="20" width="9" customWidth="1"/>
    <col min="21" max="21" width="12" style="3" customWidth="1"/>
    <col min="22" max="22" width="22.109375" style="3" customWidth="1"/>
    <col min="23" max="23" width="31.109375" style="3" customWidth="1"/>
    <col min="24" max="24" width="18.44140625" style="3" bestFit="1" customWidth="1"/>
    <col min="25" max="26" width="13.44140625" style="3" customWidth="1"/>
    <col min="27" max="27" width="14.88671875" style="3" customWidth="1"/>
    <col min="28" max="28" width="14.44140625" style="5" customWidth="1"/>
    <col min="29" max="29" width="14.88671875" style="3" customWidth="1"/>
    <col min="30" max="31" width="15.109375" style="3" customWidth="1"/>
    <col min="32" max="32" width="14.44140625" style="3" customWidth="1"/>
    <col min="33" max="33" width="15.109375" style="3" customWidth="1"/>
    <col min="34" max="34" width="15" style="3" customWidth="1"/>
    <col min="35" max="35" width="14.44140625" style="3" customWidth="1"/>
    <col min="36" max="37" width="15.109375" style="3" customWidth="1"/>
    <col min="38" max="38" width="14.88671875" style="3" customWidth="1"/>
    <col min="39" max="39" width="15.44140625" style="3" customWidth="1"/>
    <col min="40" max="40" width="15.109375" style="3" customWidth="1"/>
    <col min="41" max="44" width="14.44140625" style="3" customWidth="1"/>
    <col min="45" max="45" width="14.88671875" style="3" customWidth="1"/>
    <col min="46" max="46" width="14.44140625" style="3" customWidth="1"/>
    <col min="47" max="47" width="14" style="3" customWidth="1"/>
    <col min="48" max="48" width="14.44140625" style="3" customWidth="1"/>
    <col min="49" max="49" width="14.88671875" style="3" customWidth="1"/>
    <col min="50" max="50" width="14.44140625" style="3" customWidth="1"/>
    <col min="51" max="51" width="15" style="3" customWidth="1"/>
    <col min="52" max="52" width="14.88671875" style="3" customWidth="1"/>
    <col min="53" max="56" width="15.44140625" style="3" customWidth="1"/>
    <col min="57" max="57" width="15.88671875" style="3" customWidth="1"/>
    <col min="58" max="58" width="15.44140625" style="3" customWidth="1"/>
    <col min="59" max="59" width="15" style="3" customWidth="1"/>
    <col min="60" max="60" width="15.44140625" style="3" customWidth="1"/>
    <col min="61" max="61" width="15.88671875" style="3" customWidth="1"/>
    <col min="62" max="62" width="15.44140625" style="3" customWidth="1"/>
    <col min="63" max="63" width="16" style="3" customWidth="1"/>
    <col min="64" max="64" width="15.88671875" style="3" customWidth="1"/>
    <col min="65" max="73" width="9.109375" style="3" customWidth="1"/>
    <col min="74" max="74" width="12.44140625" style="3" customWidth="1"/>
    <col min="75" max="75" width="13.88671875" style="3" customWidth="1"/>
    <col min="76" max="77" width="9.109375" style="3" customWidth="1"/>
    <col min="78" max="78" width="11" style="3" customWidth="1"/>
    <col min="79" max="79" width="11.44140625" style="3" customWidth="1"/>
    <col min="80" max="80" width="2.88671875" style="4" customWidth="1"/>
    <col min="81" max="81" width="32.109375" style="4" bestFit="1" customWidth="1"/>
    <col min="82" max="82" width="22.109375" style="4" bestFit="1" customWidth="1"/>
    <col min="83" max="83" width="11.44140625" style="4" bestFit="1" customWidth="1"/>
    <col min="84" max="84" width="10.109375" style="4" bestFit="1" customWidth="1"/>
    <col min="85" max="85" width="9.88671875" style="4" bestFit="1" customWidth="1"/>
    <col min="86" max="16384" width="9" style="4"/>
  </cols>
  <sheetData>
    <row r="1" spans="1:154" ht="15" thickBot="1">
      <c r="A1" s="1" t="s">
        <v>0</v>
      </c>
      <c r="B1" s="2">
        <f>AVERAGE([28]Parameters!AH2:AS2)</f>
        <v>3.399999999999999</v>
      </c>
      <c r="G1"/>
      <c r="J1" s="3"/>
      <c r="M1" s="6"/>
      <c r="R1" s="3"/>
      <c r="S1" s="9"/>
      <c r="T1" s="10"/>
      <c r="U1" s="10"/>
      <c r="V1" s="11"/>
      <c r="W1" s="11"/>
      <c r="X1" s="78">
        <f>SUM(tblSOW6[Budget total cost])</f>
        <v>1062549.1536852859</v>
      </c>
      <c r="AB1" s="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3">
        <v>1</v>
      </c>
      <c r="BJ1" s="3">
        <v>2</v>
      </c>
      <c r="BK1" s="3">
        <v>3</v>
      </c>
      <c r="BL1" s="3">
        <v>4</v>
      </c>
      <c r="BM1" s="3">
        <v>5</v>
      </c>
      <c r="BN1" s="3">
        <v>6</v>
      </c>
      <c r="BO1" s="3">
        <v>7</v>
      </c>
      <c r="BP1" s="3">
        <v>8</v>
      </c>
      <c r="BQ1" s="3">
        <v>9</v>
      </c>
      <c r="BR1" s="3">
        <v>10</v>
      </c>
      <c r="BS1" s="3">
        <v>11</v>
      </c>
      <c r="BT1" s="3">
        <v>12</v>
      </c>
      <c r="BX1" s="4"/>
      <c r="BY1" s="14"/>
      <c r="BZ1" s="4">
        <f>SUM(CD4:CD1048576)</f>
        <v>0</v>
      </c>
      <c r="CA1" s="4"/>
    </row>
    <row r="2" spans="1:154" s="18" customFormat="1" ht="29.4" thickBot="1">
      <c r="A2" s="15" t="s">
        <v>1</v>
      </c>
      <c r="B2" s="15" t="s">
        <v>2</v>
      </c>
      <c r="C2" s="15" t="s">
        <v>2</v>
      </c>
      <c r="D2" s="15" t="s">
        <v>2</v>
      </c>
      <c r="E2" s="15" t="s">
        <v>3</v>
      </c>
      <c r="F2" s="15" t="s">
        <v>4</v>
      </c>
      <c r="G2" s="16" t="s">
        <v>5</v>
      </c>
      <c r="H2" s="15" t="s">
        <v>1</v>
      </c>
      <c r="I2" s="15" t="s">
        <v>6</v>
      </c>
      <c r="J2" s="15" t="s">
        <v>7</v>
      </c>
      <c r="K2" s="17" t="s">
        <v>8</v>
      </c>
      <c r="L2" s="15" t="s">
        <v>1</v>
      </c>
      <c r="M2" s="14"/>
      <c r="O2" s="79"/>
      <c r="P2" s="19"/>
      <c r="Q2" s="19"/>
      <c r="R2" s="20" t="s">
        <v>9</v>
      </c>
      <c r="S2" s="15" t="s">
        <v>1</v>
      </c>
      <c r="V2" s="21"/>
      <c r="W2" s="21" t="s">
        <v>117</v>
      </c>
      <c r="X2" s="79" t="s">
        <v>10</v>
      </c>
      <c r="Y2" s="23" t="s">
        <v>11</v>
      </c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5"/>
      <c r="AK2" s="23" t="s">
        <v>12</v>
      </c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5"/>
      <c r="AW2" s="23" t="s">
        <v>13</v>
      </c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5"/>
      <c r="BI2" s="23" t="s">
        <v>14</v>
      </c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5"/>
    </row>
    <row r="3" spans="1:154" s="38" customFormat="1" ht="43.2">
      <c r="A3" s="26" t="s">
        <v>15</v>
      </c>
      <c r="B3" s="26" t="s">
        <v>16</v>
      </c>
      <c r="C3" s="26" t="s">
        <v>17</v>
      </c>
      <c r="D3" s="27" t="s">
        <v>18</v>
      </c>
      <c r="E3" s="27" t="s">
        <v>19</v>
      </c>
      <c r="F3" s="27" t="s">
        <v>20</v>
      </c>
      <c r="G3" s="27" t="s">
        <v>21</v>
      </c>
      <c r="H3" s="26" t="s">
        <v>22</v>
      </c>
      <c r="I3" s="26" t="s">
        <v>23</v>
      </c>
      <c r="J3" s="26" t="s">
        <v>24</v>
      </c>
      <c r="K3" s="26" t="s">
        <v>25</v>
      </c>
      <c r="L3" s="28" t="s">
        <v>26</v>
      </c>
      <c r="M3" s="29" t="s">
        <v>27</v>
      </c>
      <c r="N3" s="30" t="s">
        <v>28</v>
      </c>
      <c r="O3" s="87" t="s">
        <v>29</v>
      </c>
      <c r="P3" s="32" t="s">
        <v>30</v>
      </c>
      <c r="Q3" s="32" t="s">
        <v>31</v>
      </c>
      <c r="R3" s="26" t="s">
        <v>32</v>
      </c>
      <c r="S3" s="26" t="s">
        <v>33</v>
      </c>
      <c r="T3" s="33" t="s">
        <v>34</v>
      </c>
      <c r="U3" s="34" t="s">
        <v>35</v>
      </c>
      <c r="V3" s="34" t="s">
        <v>36</v>
      </c>
      <c r="W3" s="34" t="s">
        <v>37</v>
      </c>
      <c r="X3" s="34" t="s">
        <v>38</v>
      </c>
      <c r="Y3" s="33" t="s">
        <v>39</v>
      </c>
      <c r="Z3" s="33" t="s">
        <v>40</v>
      </c>
      <c r="AA3" s="33" t="s">
        <v>41</v>
      </c>
      <c r="AB3" s="33" t="s">
        <v>42</v>
      </c>
      <c r="AC3" s="33" t="s">
        <v>43</v>
      </c>
      <c r="AD3" s="33" t="s">
        <v>44</v>
      </c>
      <c r="AE3" s="33" t="s">
        <v>45</v>
      </c>
      <c r="AF3" s="33" t="s">
        <v>46</v>
      </c>
      <c r="AG3" s="33" t="s">
        <v>47</v>
      </c>
      <c r="AH3" s="33" t="s">
        <v>48</v>
      </c>
      <c r="AI3" s="33" t="s">
        <v>49</v>
      </c>
      <c r="AJ3" s="33" t="s">
        <v>50</v>
      </c>
      <c r="AK3" s="33" t="s">
        <v>51</v>
      </c>
      <c r="AL3" s="33" t="s">
        <v>52</v>
      </c>
      <c r="AM3" s="33" t="s">
        <v>53</v>
      </c>
      <c r="AN3" s="33" t="s">
        <v>54</v>
      </c>
      <c r="AO3" s="33" t="s">
        <v>55</v>
      </c>
      <c r="AP3" s="33" t="s">
        <v>56</v>
      </c>
      <c r="AQ3" s="33" t="s">
        <v>57</v>
      </c>
      <c r="AR3" s="33" t="s">
        <v>58</v>
      </c>
      <c r="AS3" s="33" t="s">
        <v>59</v>
      </c>
      <c r="AT3" s="33" t="s">
        <v>60</v>
      </c>
      <c r="AU3" s="33" t="s">
        <v>61</v>
      </c>
      <c r="AV3" s="33" t="s">
        <v>62</v>
      </c>
      <c r="AW3" s="33" t="s">
        <v>63</v>
      </c>
      <c r="AX3" s="33" t="s">
        <v>64</v>
      </c>
      <c r="AY3" s="33" t="s">
        <v>65</v>
      </c>
      <c r="AZ3" s="33" t="s">
        <v>66</v>
      </c>
      <c r="BA3" s="33" t="s">
        <v>67</v>
      </c>
      <c r="BB3" s="33" t="s">
        <v>68</v>
      </c>
      <c r="BC3" s="33" t="s">
        <v>69</v>
      </c>
      <c r="BD3" s="33" t="s">
        <v>70</v>
      </c>
      <c r="BE3" s="33" t="s">
        <v>71</v>
      </c>
      <c r="BF3" s="33" t="s">
        <v>72</v>
      </c>
      <c r="BG3" s="33" t="s">
        <v>73</v>
      </c>
      <c r="BH3" s="33" t="s">
        <v>74</v>
      </c>
      <c r="BI3" s="33" t="s">
        <v>75</v>
      </c>
      <c r="BJ3" s="33" t="s">
        <v>76</v>
      </c>
      <c r="BK3" s="33" t="s">
        <v>77</v>
      </c>
      <c r="BL3" s="33" t="s">
        <v>78</v>
      </c>
      <c r="BM3" s="33" t="s">
        <v>79</v>
      </c>
      <c r="BN3" s="33" t="s">
        <v>80</v>
      </c>
      <c r="BO3" s="33" t="s">
        <v>81</v>
      </c>
      <c r="BP3" s="33" t="s">
        <v>82</v>
      </c>
      <c r="BQ3" s="33" t="s">
        <v>83</v>
      </c>
      <c r="BR3" s="33" t="s">
        <v>84</v>
      </c>
      <c r="BS3" s="33" t="s">
        <v>85</v>
      </c>
      <c r="BT3" s="33" t="s">
        <v>86</v>
      </c>
      <c r="BU3" s="33" t="s">
        <v>87</v>
      </c>
      <c r="BV3" s="33" t="s">
        <v>88</v>
      </c>
      <c r="BW3" s="33" t="s">
        <v>89</v>
      </c>
      <c r="BX3" s="36"/>
      <c r="BY3" s="37"/>
      <c r="BZ3" s="4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6"/>
      <c r="CQ3" s="36"/>
      <c r="CR3" s="36"/>
      <c r="CS3" s="36"/>
      <c r="CT3" s="36"/>
      <c r="CU3" s="36"/>
      <c r="CV3" s="36"/>
      <c r="CW3" s="36"/>
      <c r="CX3" s="36"/>
      <c r="CY3" s="36"/>
      <c r="CZ3" s="36"/>
      <c r="DA3" s="36"/>
      <c r="DB3" s="36"/>
      <c r="DC3" s="36"/>
      <c r="DD3" s="36"/>
      <c r="DE3" s="36"/>
      <c r="DF3" s="36"/>
      <c r="DG3" s="36"/>
      <c r="DH3" s="36"/>
      <c r="DI3" s="36"/>
      <c r="DJ3" s="36"/>
      <c r="DK3" s="36"/>
      <c r="DL3" s="36"/>
      <c r="DM3" s="36"/>
      <c r="DN3" s="36"/>
      <c r="DO3" s="36"/>
      <c r="DP3" s="36"/>
      <c r="DQ3" s="36"/>
      <c r="DR3" s="36"/>
      <c r="DS3" s="36"/>
      <c r="DT3" s="36"/>
      <c r="DU3" s="36"/>
      <c r="DV3" s="36"/>
      <c r="DW3" s="36"/>
      <c r="DX3" s="36"/>
      <c r="DY3" s="36"/>
      <c r="DZ3" s="36"/>
      <c r="EA3" s="36"/>
      <c r="EB3" s="36"/>
      <c r="EC3" s="36"/>
      <c r="ED3" s="36"/>
      <c r="EE3" s="36"/>
      <c r="EF3" s="36"/>
      <c r="EG3" s="36"/>
      <c r="EH3" s="36"/>
      <c r="EI3" s="36"/>
      <c r="EJ3" s="36"/>
      <c r="EK3" s="36"/>
      <c r="EL3" s="36"/>
      <c r="EM3" s="36"/>
      <c r="EN3" s="36"/>
      <c r="EO3" s="36"/>
      <c r="EP3" s="36"/>
      <c r="EQ3" s="36"/>
      <c r="ER3" s="36"/>
      <c r="ES3" s="36"/>
      <c r="ET3" s="36"/>
      <c r="EU3" s="36"/>
      <c r="EV3" s="36"/>
      <c r="EW3" s="36"/>
      <c r="EX3" s="36"/>
    </row>
    <row r="4" spans="1:154" s="75" customFormat="1" ht="18.75" customHeight="1">
      <c r="A4" s="67" t="str">
        <f>CONCATENATE(INDEX([28]Parameters!$U$1:$V$20,MATCH(C4,[28]Parameters!$V$1:$V$20,0),1),"/",VLOOKUP(D4,[28]Parameters!$CG$1:$CH$12,2,0),".",E4,".",H4,".",LEFT(J4,3),"-",LEFT(K4,4))</f>
        <v>B40/20.P271.422.951-T115</v>
      </c>
      <c r="B4" s="67" t="s">
        <v>111</v>
      </c>
      <c r="C4" s="67" t="s">
        <v>118</v>
      </c>
      <c r="D4" s="39" t="s">
        <v>95</v>
      </c>
      <c r="E4" s="40" t="str">
        <f>VLOOKUP(F4,[28]Parameters!P:T,4,0)</f>
        <v>P271</v>
      </c>
      <c r="F4" s="39" t="s">
        <v>120</v>
      </c>
      <c r="G4" s="67"/>
      <c r="H4" s="44">
        <f>INDEX([28]Parameters!$B:$C,MATCH(I4,[28]Parameters!$C:$C,0),1)</f>
        <v>422</v>
      </c>
      <c r="I4" s="68" t="s">
        <v>110</v>
      </c>
      <c r="J4" s="68" t="s">
        <v>93</v>
      </c>
      <c r="K4" s="68" t="s">
        <v>121</v>
      </c>
      <c r="L4" s="68"/>
      <c r="M4" s="69"/>
      <c r="N4" s="67"/>
      <c r="O4" s="67"/>
      <c r="P4" s="72">
        <v>44927</v>
      </c>
      <c r="Q4" s="72">
        <v>45291</v>
      </c>
      <c r="R4" s="68"/>
      <c r="S4" s="67">
        <f t="shared" ref="S4:S13" si="0">IF(OR(P4="",Q4=""),0,MONTH(Q4)-MONTH(P4)+1)</f>
        <v>12</v>
      </c>
      <c r="T4" s="68"/>
      <c r="U4" s="68">
        <v>110</v>
      </c>
      <c r="V4" s="68"/>
      <c r="W4" s="68" t="str">
        <f>IF(AND(ISNUMBER(SEARCH("-T",tblSOW6[[#This Row],[Budget Item]])),NOT(ISNUMBER(tblSOW6[[#This Row],[Task Units]]))),"Please Enter Task Units",
IF(AND(ISNUMBER(SEARCH("-E000",tblSOW6[[#This Row],[Budget Item]])),NOT(ISNUMBER(tblSOW6[[#This Row],[% work on project]]))),"Please Enter Organic FTE",
IF(AND(ISNUMBER(SEARCH("-E999",tblSOW6[[#This Row],[Budget Item]])),NOT(ISNUMBER(tblSOW6[[#This Row],[External Expenses/Revenues USD]]))),"Please Enter External Expenses",
"")))</f>
        <v/>
      </c>
      <c r="X4" s="67">
        <f>SUM(tblSOW6[[#This Row],[Jan 2023 USD]:[Dec 2023 USD]])</f>
        <v>121821.77950191298</v>
      </c>
      <c r="Y4" s="74">
        <f>tblSOW6[[#This Row],[FTE Cost]]*tblSOW6[[#This Row],[% work on project]]*AK4/12+tblSOW6[[#This Row],[Task Cost]]*AW4+tblSOW6[[#This Row],[External Expenses/Revenues USD]]*BI4/tblSOW6[[#This Row],[Duration]]</f>
        <v>10151.814958492751</v>
      </c>
      <c r="Z4" s="74">
        <f>tblSOW6[[#This Row],[FTE Cost]]*tblSOW6[[#This Row],[% work on project]]*AL4/12+tblSOW6[[#This Row],[Task Cost]]*AX4+tblSOW6[[#This Row],[External Expenses/Revenues USD]]*BJ4/tblSOW6[[#This Row],[Duration]]</f>
        <v>10151.814958492751</v>
      </c>
      <c r="AA4" s="74">
        <f>tblSOW6[[#This Row],[FTE Cost]]*tblSOW6[[#This Row],[% work on project]]*AM4/12+tblSOW6[[#This Row],[Task Cost]]*AY4+tblSOW6[[#This Row],[External Expenses/Revenues USD]]*BK4/tblSOW6[[#This Row],[Duration]]</f>
        <v>10151.814958492751</v>
      </c>
      <c r="AB4" s="74">
        <f>tblSOW6[[#This Row],[FTE Cost]]*tblSOW6[[#This Row],[% work on project]]*AN4/12+tblSOW6[[#This Row],[Task Cost]]*AZ4+tblSOW6[[#This Row],[External Expenses/Revenues USD]]*BL4/tblSOW6[[#This Row],[Duration]]</f>
        <v>10151.814958492751</v>
      </c>
      <c r="AC4" s="74">
        <f>tblSOW6[[#This Row],[FTE Cost]]*tblSOW6[[#This Row],[% work on project]]*AO4/12+tblSOW6[[#This Row],[Task Cost]]*BA4+tblSOW6[[#This Row],[External Expenses/Revenues USD]]*BM4/tblSOW6[[#This Row],[Duration]]</f>
        <v>10151.814958492751</v>
      </c>
      <c r="AD4" s="74">
        <f>tblSOW6[[#This Row],[FTE Cost]]*tblSOW6[[#This Row],[% work on project]]*AP4/12+tblSOW6[[#This Row],[Task Cost]]*BB4+tblSOW6[[#This Row],[External Expenses/Revenues USD]]*BN4/tblSOW6[[#This Row],[Duration]]</f>
        <v>10151.814958492751</v>
      </c>
      <c r="AE4" s="74">
        <f>tblSOW6[[#This Row],[FTE Cost]]*tblSOW6[[#This Row],[% work on project]]*AQ4/12+tblSOW6[[#This Row],[Task Cost]]*BC4+tblSOW6[[#This Row],[External Expenses/Revenues USD]]*BO4/tblSOW6[[#This Row],[Duration]]</f>
        <v>10151.814958492751</v>
      </c>
      <c r="AF4" s="74">
        <f>tblSOW6[[#This Row],[FTE Cost]]*tblSOW6[[#This Row],[% work on project]]*AR4/12+tblSOW6[[#This Row],[Task Cost]]*BD4+tblSOW6[[#This Row],[External Expenses/Revenues USD]]*BP4/tblSOW6[[#This Row],[Duration]]</f>
        <v>10151.814958492751</v>
      </c>
      <c r="AG4" s="74">
        <f>tblSOW6[[#This Row],[FTE Cost]]*tblSOW6[[#This Row],[% work on project]]*AS4/12+tblSOW6[[#This Row],[Task Cost]]*BE4+tblSOW6[[#This Row],[External Expenses/Revenues USD]]*BQ4/tblSOW6[[#This Row],[Duration]]</f>
        <v>10151.814958492751</v>
      </c>
      <c r="AH4" s="74">
        <f>tblSOW6[[#This Row],[FTE Cost]]*tblSOW6[[#This Row],[% work on project]]*AT4/12+tblSOW6[[#This Row],[Task Cost]]*BF4+tblSOW6[[#This Row],[External Expenses/Revenues USD]]*BR4/tblSOW6[[#This Row],[Duration]]</f>
        <v>10151.814958492751</v>
      </c>
      <c r="AI4" s="74">
        <f>tblSOW6[[#This Row],[FTE Cost]]*tblSOW6[[#This Row],[% work on project]]*AU4/12+tblSOW6[[#This Row],[Task Cost]]*BG4+tblSOW6[[#This Row],[External Expenses/Revenues USD]]*BS4/tblSOW6[[#This Row],[Duration]]</f>
        <v>10151.814958492751</v>
      </c>
      <c r="AJ4" s="74">
        <f>tblSOW6[[#This Row],[FTE Cost]]*tblSOW6[[#This Row],[% work on project]]*AV4/12+tblSOW6[[#This Row],[Task Cost]]*BH4+tblSOW6[[#This Row],[External Expenses/Revenues USD]]*BT4/tblSOW6[[#This Row],[Duration]]</f>
        <v>10151.814958492751</v>
      </c>
      <c r="AK4" s="74">
        <f t="shared" ref="AK4:AM8" si="1">$S4/$BU4*BI4</f>
        <v>1</v>
      </c>
      <c r="AL4" s="74">
        <f t="shared" si="1"/>
        <v>1</v>
      </c>
      <c r="AM4" s="74">
        <f t="shared" si="1"/>
        <v>1</v>
      </c>
      <c r="AN4" s="74">
        <f t="shared" ref="AN4:AV8" si="2">$S4/$BU4*BL4</f>
        <v>1</v>
      </c>
      <c r="AO4" s="74">
        <f t="shared" si="2"/>
        <v>1</v>
      </c>
      <c r="AP4" s="74">
        <f t="shared" si="2"/>
        <v>1</v>
      </c>
      <c r="AQ4" s="74">
        <f t="shared" si="2"/>
        <v>1</v>
      </c>
      <c r="AR4" s="74">
        <f t="shared" si="2"/>
        <v>1</v>
      </c>
      <c r="AS4" s="74">
        <f t="shared" si="2"/>
        <v>1</v>
      </c>
      <c r="AT4" s="74">
        <f t="shared" si="2"/>
        <v>1</v>
      </c>
      <c r="AU4" s="74">
        <f t="shared" si="2"/>
        <v>1</v>
      </c>
      <c r="AV4" s="74">
        <f t="shared" si="2"/>
        <v>1</v>
      </c>
      <c r="AW4" s="74">
        <f t="shared" ref="AW4:AY8" si="3">$U4/$BU4*BI4</f>
        <v>9.1666666666666661</v>
      </c>
      <c r="AX4" s="74">
        <f t="shared" si="3"/>
        <v>9.1666666666666661</v>
      </c>
      <c r="AY4" s="74">
        <f t="shared" si="3"/>
        <v>9.1666666666666661</v>
      </c>
      <c r="AZ4" s="74">
        <f t="shared" ref="AZ4:BH8" si="4">$U4/$BU4*BL4</f>
        <v>9.1666666666666661</v>
      </c>
      <c r="BA4" s="74">
        <f t="shared" si="4"/>
        <v>9.1666666666666661</v>
      </c>
      <c r="BB4" s="74">
        <f t="shared" si="4"/>
        <v>9.1666666666666661</v>
      </c>
      <c r="BC4" s="74">
        <f t="shared" si="4"/>
        <v>9.1666666666666661</v>
      </c>
      <c r="BD4" s="74">
        <f t="shared" si="4"/>
        <v>9.1666666666666661</v>
      </c>
      <c r="BE4" s="74">
        <f t="shared" si="4"/>
        <v>9.1666666666666661</v>
      </c>
      <c r="BF4" s="74">
        <f t="shared" si="4"/>
        <v>9.1666666666666661</v>
      </c>
      <c r="BG4" s="74">
        <f t="shared" si="4"/>
        <v>9.1666666666666661</v>
      </c>
      <c r="BH4" s="74">
        <f t="shared" si="4"/>
        <v>9.1666666666666661</v>
      </c>
      <c r="BI4" s="74">
        <f t="shared" ref="BI4:BT5" si="5">IF($S4&gt;0,IF(AND(MONTH($P4)&lt;=BI$1,MONTH($Q4)&gt;=BI$1),1,0),0)</f>
        <v>1</v>
      </c>
      <c r="BJ4" s="74">
        <f t="shared" si="5"/>
        <v>1</v>
      </c>
      <c r="BK4" s="74">
        <f t="shared" si="5"/>
        <v>1</v>
      </c>
      <c r="BL4" s="74">
        <f t="shared" si="5"/>
        <v>1</v>
      </c>
      <c r="BM4" s="74">
        <f t="shared" si="5"/>
        <v>1</v>
      </c>
      <c r="BN4" s="74">
        <f t="shared" si="5"/>
        <v>1</v>
      </c>
      <c r="BO4" s="74">
        <f t="shared" si="5"/>
        <v>1</v>
      </c>
      <c r="BP4" s="74">
        <f t="shared" si="5"/>
        <v>1</v>
      </c>
      <c r="BQ4" s="74">
        <f t="shared" si="5"/>
        <v>1</v>
      </c>
      <c r="BR4" s="74">
        <f t="shared" si="5"/>
        <v>1</v>
      </c>
      <c r="BS4" s="74">
        <f t="shared" si="5"/>
        <v>1</v>
      </c>
      <c r="BT4" s="74">
        <f t="shared" si="5"/>
        <v>1</v>
      </c>
      <c r="BU4" s="74">
        <f>SUM(tblSOW6[[#This Row],[P1]:[P12]])</f>
        <v>12</v>
      </c>
      <c r="BV4" s="74">
        <f xml:space="preserve"> IF(AND(ISNUMBER(SEARCH("-E000",tblSOW6[[#This Row],[Budget Item]])), ISERROR(VLOOKUP(tblSOW6[[#This Row],[Employee name ]],[28]Parameters!CP:DH,19,0))),VLOOKUP(tblSOW6[[#This Row],[Employee name ]],[28]Parameters!CP:DH,19,0),IFERROR(VLOOKUP(tblSOW6[[#This Row],[Employee name ]],[28]Parameters!CP:DH,19,0),0))</f>
        <v>0</v>
      </c>
      <c r="BW4" s="74">
        <f>IFERROR(VLOOKUP(K4,[28]Parameters!BN:BW,10,0),0)</f>
        <v>1107.4707227446638</v>
      </c>
    </row>
    <row r="5" spans="1:154" s="75" customFormat="1" ht="18.75" customHeight="1">
      <c r="A5" s="67" t="str">
        <f>CONCATENATE(INDEX([28]Parameters!$U$1:$V$20,MATCH(C5,[28]Parameters!$V$1:$V$20,0),1),"/",VLOOKUP(D5,[28]Parameters!$CG$1:$CH$12,2,0),".",E5,".",H5,".",LEFT(J5,3),"-",LEFT(K5,4))</f>
        <v>B40/20.P271.404.951-T102</v>
      </c>
      <c r="B5" s="67" t="s">
        <v>111</v>
      </c>
      <c r="C5" s="67" t="s">
        <v>118</v>
      </c>
      <c r="D5" s="39" t="s">
        <v>95</v>
      </c>
      <c r="E5" s="40" t="str">
        <f>VLOOKUP(F5,[28]Parameters!P:T,4,0)</f>
        <v>P271</v>
      </c>
      <c r="F5" s="39" t="s">
        <v>120</v>
      </c>
      <c r="G5" s="67"/>
      <c r="H5" s="44">
        <f>INDEX([28]Parameters!$B:$C,MATCH(I5,[28]Parameters!$C:$C,0),1)</f>
        <v>404</v>
      </c>
      <c r="I5" s="68" t="s">
        <v>101</v>
      </c>
      <c r="J5" s="68" t="s">
        <v>93</v>
      </c>
      <c r="K5" s="68" t="s">
        <v>102</v>
      </c>
      <c r="L5" s="68"/>
      <c r="M5" s="69"/>
      <c r="N5" s="70"/>
      <c r="O5" s="95"/>
      <c r="P5" s="72">
        <v>44927</v>
      </c>
      <c r="Q5" s="72">
        <v>45291</v>
      </c>
      <c r="R5" s="68"/>
      <c r="S5" s="67">
        <f t="shared" si="0"/>
        <v>12</v>
      </c>
      <c r="T5" s="68"/>
      <c r="U5" s="68">
        <v>55</v>
      </c>
      <c r="V5" s="68"/>
      <c r="W5" s="68" t="str">
        <f>IF(AND(ISNUMBER(SEARCH("-T",tblSOW6[[#This Row],[Budget Item]])),NOT(ISNUMBER(tblSOW6[[#This Row],[Task Units]]))),"Please Enter Task Units",
IF(AND(ISNUMBER(SEARCH("-E000",tblSOW6[[#This Row],[Budget Item]])),NOT(ISNUMBER(tblSOW6[[#This Row],[% work on project]]))),"Please Enter Organic FTE",
IF(AND(ISNUMBER(SEARCH("-E999",tblSOW6[[#This Row],[Budget Item]])),NOT(ISNUMBER(tblSOW6[[#This Row],[External Expenses/Revenues USD]]))),"Please Enter External Expenses",
"")))</f>
        <v/>
      </c>
      <c r="X5" s="67">
        <f>SUM(tblSOW6[[#This Row],[Jan 2023 USD]:[Dec 2023 USD]])</f>
        <v>50131.564933240232</v>
      </c>
      <c r="Y5" s="74">
        <f>tblSOW6[[#This Row],[FTE Cost]]*tblSOW6[[#This Row],[% work on project]]*AK5/12+tblSOW6[[#This Row],[Task Cost]]*AW5+tblSOW6[[#This Row],[External Expenses/Revenues USD]]*BI5/tblSOW6[[#This Row],[Duration]]</f>
        <v>4177.6304111033523</v>
      </c>
      <c r="Z5" s="74">
        <f>tblSOW6[[#This Row],[FTE Cost]]*tblSOW6[[#This Row],[% work on project]]*AL5/12+tblSOW6[[#This Row],[Task Cost]]*AX5+tblSOW6[[#This Row],[External Expenses/Revenues USD]]*BJ5/tblSOW6[[#This Row],[Duration]]</f>
        <v>4177.6304111033523</v>
      </c>
      <c r="AA5" s="74">
        <f>tblSOW6[[#This Row],[FTE Cost]]*tblSOW6[[#This Row],[% work on project]]*AM5/12+tblSOW6[[#This Row],[Task Cost]]*AY5+tblSOW6[[#This Row],[External Expenses/Revenues USD]]*BK5/tblSOW6[[#This Row],[Duration]]</f>
        <v>4177.6304111033523</v>
      </c>
      <c r="AB5" s="74">
        <f>tblSOW6[[#This Row],[FTE Cost]]*tblSOW6[[#This Row],[% work on project]]*AN5/12+tblSOW6[[#This Row],[Task Cost]]*AZ5+tblSOW6[[#This Row],[External Expenses/Revenues USD]]*BL5/tblSOW6[[#This Row],[Duration]]</f>
        <v>4177.6304111033523</v>
      </c>
      <c r="AC5" s="74">
        <f>tblSOW6[[#This Row],[FTE Cost]]*tblSOW6[[#This Row],[% work on project]]*AO5/12+tblSOW6[[#This Row],[Task Cost]]*BA5+tblSOW6[[#This Row],[External Expenses/Revenues USD]]*BM5/tblSOW6[[#This Row],[Duration]]</f>
        <v>4177.6304111033523</v>
      </c>
      <c r="AD5" s="74">
        <f>tblSOW6[[#This Row],[FTE Cost]]*tblSOW6[[#This Row],[% work on project]]*AP5/12+tblSOW6[[#This Row],[Task Cost]]*BB5+tblSOW6[[#This Row],[External Expenses/Revenues USD]]*BN5/tblSOW6[[#This Row],[Duration]]</f>
        <v>4177.6304111033523</v>
      </c>
      <c r="AE5" s="74">
        <f>tblSOW6[[#This Row],[FTE Cost]]*tblSOW6[[#This Row],[% work on project]]*AQ5/12+tblSOW6[[#This Row],[Task Cost]]*BC5+tblSOW6[[#This Row],[External Expenses/Revenues USD]]*BO5/tblSOW6[[#This Row],[Duration]]</f>
        <v>4177.6304111033523</v>
      </c>
      <c r="AF5" s="74">
        <f>tblSOW6[[#This Row],[FTE Cost]]*tblSOW6[[#This Row],[% work on project]]*AR5/12+tblSOW6[[#This Row],[Task Cost]]*BD5+tblSOW6[[#This Row],[External Expenses/Revenues USD]]*BP5/tblSOW6[[#This Row],[Duration]]</f>
        <v>4177.6304111033523</v>
      </c>
      <c r="AG5" s="74">
        <f>tblSOW6[[#This Row],[FTE Cost]]*tblSOW6[[#This Row],[% work on project]]*AS5/12+tblSOW6[[#This Row],[Task Cost]]*BE5+tblSOW6[[#This Row],[External Expenses/Revenues USD]]*BQ5/tblSOW6[[#This Row],[Duration]]</f>
        <v>4177.6304111033523</v>
      </c>
      <c r="AH5" s="74">
        <f>tblSOW6[[#This Row],[FTE Cost]]*tblSOW6[[#This Row],[% work on project]]*AT5/12+tblSOW6[[#This Row],[Task Cost]]*BF5+tblSOW6[[#This Row],[External Expenses/Revenues USD]]*BR5/tblSOW6[[#This Row],[Duration]]</f>
        <v>4177.6304111033523</v>
      </c>
      <c r="AI5" s="74">
        <f>tblSOW6[[#This Row],[FTE Cost]]*tblSOW6[[#This Row],[% work on project]]*AU5/12+tblSOW6[[#This Row],[Task Cost]]*BG5+tblSOW6[[#This Row],[External Expenses/Revenues USD]]*BS5/tblSOW6[[#This Row],[Duration]]</f>
        <v>4177.6304111033523</v>
      </c>
      <c r="AJ5" s="74">
        <f>tblSOW6[[#This Row],[FTE Cost]]*tblSOW6[[#This Row],[% work on project]]*AV5/12+tblSOW6[[#This Row],[Task Cost]]*BH5+tblSOW6[[#This Row],[External Expenses/Revenues USD]]*BT5/tblSOW6[[#This Row],[Duration]]</f>
        <v>4177.6304111033523</v>
      </c>
      <c r="AK5" s="74">
        <f t="shared" si="1"/>
        <v>1</v>
      </c>
      <c r="AL5" s="74">
        <f t="shared" si="1"/>
        <v>1</v>
      </c>
      <c r="AM5" s="74">
        <f t="shared" si="1"/>
        <v>1</v>
      </c>
      <c r="AN5" s="74">
        <f t="shared" si="2"/>
        <v>1</v>
      </c>
      <c r="AO5" s="74">
        <f t="shared" si="2"/>
        <v>1</v>
      </c>
      <c r="AP5" s="74">
        <f t="shared" si="2"/>
        <v>1</v>
      </c>
      <c r="AQ5" s="74">
        <f t="shared" si="2"/>
        <v>1</v>
      </c>
      <c r="AR5" s="74">
        <f t="shared" si="2"/>
        <v>1</v>
      </c>
      <c r="AS5" s="74">
        <f t="shared" si="2"/>
        <v>1</v>
      </c>
      <c r="AT5" s="74">
        <f t="shared" si="2"/>
        <v>1</v>
      </c>
      <c r="AU5" s="74">
        <f t="shared" si="2"/>
        <v>1</v>
      </c>
      <c r="AV5" s="74">
        <f t="shared" si="2"/>
        <v>1</v>
      </c>
      <c r="AW5" s="74">
        <f t="shared" si="3"/>
        <v>4.583333333333333</v>
      </c>
      <c r="AX5" s="74">
        <f t="shared" si="3"/>
        <v>4.583333333333333</v>
      </c>
      <c r="AY5" s="74">
        <f t="shared" si="3"/>
        <v>4.583333333333333</v>
      </c>
      <c r="AZ5" s="74">
        <f t="shared" si="4"/>
        <v>4.583333333333333</v>
      </c>
      <c r="BA5" s="74">
        <f t="shared" si="4"/>
        <v>4.583333333333333</v>
      </c>
      <c r="BB5" s="74">
        <f t="shared" si="4"/>
        <v>4.583333333333333</v>
      </c>
      <c r="BC5" s="74">
        <f t="shared" si="4"/>
        <v>4.583333333333333</v>
      </c>
      <c r="BD5" s="74">
        <f t="shared" si="4"/>
        <v>4.583333333333333</v>
      </c>
      <c r="BE5" s="74">
        <f t="shared" si="4"/>
        <v>4.583333333333333</v>
      </c>
      <c r="BF5" s="74">
        <f t="shared" si="4"/>
        <v>4.583333333333333</v>
      </c>
      <c r="BG5" s="74">
        <f t="shared" si="4"/>
        <v>4.583333333333333</v>
      </c>
      <c r="BH5" s="74">
        <f t="shared" si="4"/>
        <v>4.583333333333333</v>
      </c>
      <c r="BI5" s="74">
        <f t="shared" si="5"/>
        <v>1</v>
      </c>
      <c r="BJ5" s="74">
        <f t="shared" si="5"/>
        <v>1</v>
      </c>
      <c r="BK5" s="74">
        <f t="shared" si="5"/>
        <v>1</v>
      </c>
      <c r="BL5" s="74">
        <f t="shared" si="5"/>
        <v>1</v>
      </c>
      <c r="BM5" s="74">
        <f t="shared" si="5"/>
        <v>1</v>
      </c>
      <c r="BN5" s="74">
        <f t="shared" si="5"/>
        <v>1</v>
      </c>
      <c r="BO5" s="74">
        <f t="shared" si="5"/>
        <v>1</v>
      </c>
      <c r="BP5" s="74">
        <f t="shared" si="5"/>
        <v>1</v>
      </c>
      <c r="BQ5" s="74">
        <f t="shared" si="5"/>
        <v>1</v>
      </c>
      <c r="BR5" s="74">
        <f t="shared" si="5"/>
        <v>1</v>
      </c>
      <c r="BS5" s="74">
        <f t="shared" si="5"/>
        <v>1</v>
      </c>
      <c r="BT5" s="74">
        <f t="shared" si="5"/>
        <v>1</v>
      </c>
      <c r="BU5" s="74">
        <f>SUM(tblSOW6[[#This Row],[P1]:[P12]])</f>
        <v>12</v>
      </c>
      <c r="BV5" s="74">
        <f xml:space="preserve"> IF(AND(ISNUMBER(SEARCH("-E000",tblSOW6[[#This Row],[Budget Item]])), ISERROR(VLOOKUP(tblSOW6[[#This Row],[Employee name ]],[28]Parameters!CP:DH,19,0))),VLOOKUP(tblSOW6[[#This Row],[Employee name ]],[28]Parameters!CP:DH,19,0),IFERROR(VLOOKUP(tblSOW6[[#This Row],[Employee name ]],[28]Parameters!CP:DH,19,0),0))</f>
        <v>0</v>
      </c>
      <c r="BW5" s="74">
        <f>IFERROR(VLOOKUP(K5,[28]Parameters!BN:BW,10,0),0)</f>
        <v>911.48299878618604</v>
      </c>
    </row>
    <row r="6" spans="1:154" s="75" customFormat="1" ht="18.75" customHeight="1">
      <c r="A6" s="67" t="str">
        <f>CONCATENATE(INDEX([28]Parameters!$U$1:$V$20,MATCH(C6,[28]Parameters!$V$1:$V$20,0),1),"/",VLOOKUP(D6,[28]Parameters!$CG$1:$CH$12,2,0),".",E6,".",H6,".",LEFT(J6,3),"-",LEFT(K6,4))</f>
        <v>B40/20.P271.406.951-T112</v>
      </c>
      <c r="B6" s="67" t="s">
        <v>111</v>
      </c>
      <c r="C6" s="67" t="s">
        <v>118</v>
      </c>
      <c r="D6" s="39" t="s">
        <v>95</v>
      </c>
      <c r="E6" s="40" t="str">
        <f>VLOOKUP(F6,[28]Parameters!P:T,4,0)</f>
        <v>P271</v>
      </c>
      <c r="F6" s="39" t="s">
        <v>120</v>
      </c>
      <c r="G6" s="67"/>
      <c r="H6" s="44">
        <f>INDEX([28]Parameters!$B:$C,MATCH(I6,[28]Parameters!$C:$C,0),1)</f>
        <v>406</v>
      </c>
      <c r="I6" s="68" t="s">
        <v>106</v>
      </c>
      <c r="J6" s="68" t="s">
        <v>93</v>
      </c>
      <c r="K6" s="68" t="s">
        <v>107</v>
      </c>
      <c r="L6" s="68"/>
      <c r="M6" s="69"/>
      <c r="N6" s="67"/>
      <c r="O6" s="67"/>
      <c r="P6" s="72">
        <v>44927</v>
      </c>
      <c r="Q6" s="72">
        <v>45291</v>
      </c>
      <c r="R6" s="68"/>
      <c r="S6" s="67">
        <f t="shared" si="0"/>
        <v>12</v>
      </c>
      <c r="T6" s="68"/>
      <c r="U6" s="68">
        <v>117.3</v>
      </c>
      <c r="V6" s="68"/>
      <c r="W6" s="68" t="str">
        <f>IF(AND(ISNUMBER(SEARCH("-T",tblSOW6[[#This Row],[Budget Item]])),NOT(ISNUMBER(tblSOW6[[#This Row],[Task Units]]))),"Please Enter Task Units",
IF(AND(ISNUMBER(SEARCH("-E000",tblSOW6[[#This Row],[Budget Item]])),NOT(ISNUMBER(tblSOW6[[#This Row],[% work on project]]))),"Please Enter Organic FTE",
IF(AND(ISNUMBER(SEARCH("-E999",tblSOW6[[#This Row],[Budget Item]])),NOT(ISNUMBER(tblSOW6[[#This Row],[External Expenses/Revenues USD]]))),"Please Enter External Expenses",
"")))</f>
        <v/>
      </c>
      <c r="X6" s="67">
        <f>SUM(tblSOW6[[#This Row],[Jan 2023 USD]:[Dec 2023 USD]])</f>
        <v>106269.08810803102</v>
      </c>
      <c r="Y6" s="74">
        <f>tblSOW6[[#This Row],[FTE Cost]]*tblSOW6[[#This Row],[% work on project]]*AK6/12+tblSOW6[[#This Row],[Task Cost]]*AW6+tblSOW6[[#This Row],[External Expenses/Revenues USD]]*BI6/tblSOW6[[#This Row],[Duration]]</f>
        <v>8855.7573423359208</v>
      </c>
      <c r="Z6" s="74">
        <f>tblSOW6[[#This Row],[FTE Cost]]*tblSOW6[[#This Row],[% work on project]]*AL6/12+tblSOW6[[#This Row],[Task Cost]]*AX6+tblSOW6[[#This Row],[External Expenses/Revenues USD]]*BJ6/tblSOW6[[#This Row],[Duration]]</f>
        <v>8855.7573423359208</v>
      </c>
      <c r="AA6" s="74">
        <f>tblSOW6[[#This Row],[FTE Cost]]*tblSOW6[[#This Row],[% work on project]]*AM6/12+tblSOW6[[#This Row],[Task Cost]]*AY6+tblSOW6[[#This Row],[External Expenses/Revenues USD]]*BK6/tblSOW6[[#This Row],[Duration]]</f>
        <v>8855.7573423359208</v>
      </c>
      <c r="AB6" s="74">
        <f>tblSOW6[[#This Row],[FTE Cost]]*tblSOW6[[#This Row],[% work on project]]*AN6/12+tblSOW6[[#This Row],[Task Cost]]*AZ6+tblSOW6[[#This Row],[External Expenses/Revenues USD]]*BL6/tblSOW6[[#This Row],[Duration]]</f>
        <v>8855.7573423359208</v>
      </c>
      <c r="AC6" s="74">
        <f>tblSOW6[[#This Row],[FTE Cost]]*tblSOW6[[#This Row],[% work on project]]*AO6/12+tblSOW6[[#This Row],[Task Cost]]*BA6+tblSOW6[[#This Row],[External Expenses/Revenues USD]]*BM6/tblSOW6[[#This Row],[Duration]]</f>
        <v>8855.7573423359208</v>
      </c>
      <c r="AD6" s="74">
        <f>tblSOW6[[#This Row],[FTE Cost]]*tblSOW6[[#This Row],[% work on project]]*AP6/12+tblSOW6[[#This Row],[Task Cost]]*BB6+tblSOW6[[#This Row],[External Expenses/Revenues USD]]*BN6/tblSOW6[[#This Row],[Duration]]</f>
        <v>8855.7573423359208</v>
      </c>
      <c r="AE6" s="74">
        <f>tblSOW6[[#This Row],[FTE Cost]]*tblSOW6[[#This Row],[% work on project]]*AQ6/12+tblSOW6[[#This Row],[Task Cost]]*BC6+tblSOW6[[#This Row],[External Expenses/Revenues USD]]*BO6/tblSOW6[[#This Row],[Duration]]</f>
        <v>8855.7573423359208</v>
      </c>
      <c r="AF6" s="74">
        <f>tblSOW6[[#This Row],[FTE Cost]]*tblSOW6[[#This Row],[% work on project]]*AR6/12+tblSOW6[[#This Row],[Task Cost]]*BD6+tblSOW6[[#This Row],[External Expenses/Revenues USD]]*BP6/tblSOW6[[#This Row],[Duration]]</f>
        <v>8855.7573423359208</v>
      </c>
      <c r="AG6" s="74">
        <f>tblSOW6[[#This Row],[FTE Cost]]*tblSOW6[[#This Row],[% work on project]]*AS6/12+tblSOW6[[#This Row],[Task Cost]]*BE6+tblSOW6[[#This Row],[External Expenses/Revenues USD]]*BQ6/tblSOW6[[#This Row],[Duration]]</f>
        <v>8855.7573423359208</v>
      </c>
      <c r="AH6" s="74">
        <f>tblSOW6[[#This Row],[FTE Cost]]*tblSOW6[[#This Row],[% work on project]]*AT6/12+tblSOW6[[#This Row],[Task Cost]]*BF6+tblSOW6[[#This Row],[External Expenses/Revenues USD]]*BR6/tblSOW6[[#This Row],[Duration]]</f>
        <v>8855.7573423359208</v>
      </c>
      <c r="AI6" s="74">
        <f>tblSOW6[[#This Row],[FTE Cost]]*tblSOW6[[#This Row],[% work on project]]*AU6/12+tblSOW6[[#This Row],[Task Cost]]*BG6+tblSOW6[[#This Row],[External Expenses/Revenues USD]]*BS6/tblSOW6[[#This Row],[Duration]]</f>
        <v>8855.7573423359208</v>
      </c>
      <c r="AJ6" s="74">
        <f>tblSOW6[[#This Row],[FTE Cost]]*tblSOW6[[#This Row],[% work on project]]*AV6/12+tblSOW6[[#This Row],[Task Cost]]*BH6+tblSOW6[[#This Row],[External Expenses/Revenues USD]]*BT6/tblSOW6[[#This Row],[Duration]]</f>
        <v>8855.7573423359208</v>
      </c>
      <c r="AK6" s="74">
        <f t="shared" si="1"/>
        <v>1</v>
      </c>
      <c r="AL6" s="74">
        <f t="shared" si="1"/>
        <v>1</v>
      </c>
      <c r="AM6" s="74">
        <f t="shared" si="1"/>
        <v>1</v>
      </c>
      <c r="AN6" s="74">
        <f t="shared" si="2"/>
        <v>1</v>
      </c>
      <c r="AO6" s="74">
        <f t="shared" si="2"/>
        <v>1</v>
      </c>
      <c r="AP6" s="74">
        <f t="shared" si="2"/>
        <v>1</v>
      </c>
      <c r="AQ6" s="74">
        <f t="shared" si="2"/>
        <v>1</v>
      </c>
      <c r="AR6" s="74">
        <f t="shared" si="2"/>
        <v>1</v>
      </c>
      <c r="AS6" s="74">
        <f t="shared" si="2"/>
        <v>1</v>
      </c>
      <c r="AT6" s="74">
        <f t="shared" si="2"/>
        <v>1</v>
      </c>
      <c r="AU6" s="74">
        <f t="shared" si="2"/>
        <v>1</v>
      </c>
      <c r="AV6" s="74">
        <f t="shared" si="2"/>
        <v>1</v>
      </c>
      <c r="AW6" s="74">
        <f t="shared" si="3"/>
        <v>9.7750000000000004</v>
      </c>
      <c r="AX6" s="74">
        <f t="shared" si="3"/>
        <v>9.7750000000000004</v>
      </c>
      <c r="AY6" s="74">
        <f t="shared" si="3"/>
        <v>9.7750000000000004</v>
      </c>
      <c r="AZ6" s="74">
        <f t="shared" si="4"/>
        <v>9.7750000000000004</v>
      </c>
      <c r="BA6" s="74">
        <f t="shared" si="4"/>
        <v>9.7750000000000004</v>
      </c>
      <c r="BB6" s="74">
        <f t="shared" si="4"/>
        <v>9.7750000000000004</v>
      </c>
      <c r="BC6" s="74">
        <f t="shared" si="4"/>
        <v>9.7750000000000004</v>
      </c>
      <c r="BD6" s="74">
        <f t="shared" si="4"/>
        <v>9.7750000000000004</v>
      </c>
      <c r="BE6" s="74">
        <f t="shared" si="4"/>
        <v>9.7750000000000004</v>
      </c>
      <c r="BF6" s="74">
        <f t="shared" si="4"/>
        <v>9.7750000000000004</v>
      </c>
      <c r="BG6" s="74">
        <f t="shared" si="4"/>
        <v>9.7750000000000004</v>
      </c>
      <c r="BH6" s="74">
        <f t="shared" si="4"/>
        <v>9.7750000000000004</v>
      </c>
      <c r="BI6" s="74">
        <f t="shared" ref="BI6:BT13" si="6">IF($S6&gt;0,IF(AND(MONTH($P6)&lt;=BI$1,MONTH($Q6)&gt;=BI$1),1,0),0)</f>
        <v>1</v>
      </c>
      <c r="BJ6" s="74">
        <f t="shared" si="6"/>
        <v>1</v>
      </c>
      <c r="BK6" s="74">
        <f t="shared" si="6"/>
        <v>1</v>
      </c>
      <c r="BL6" s="74">
        <f t="shared" si="6"/>
        <v>1</v>
      </c>
      <c r="BM6" s="74">
        <f t="shared" si="6"/>
        <v>1</v>
      </c>
      <c r="BN6" s="74">
        <f t="shared" si="6"/>
        <v>1</v>
      </c>
      <c r="BO6" s="74">
        <f t="shared" si="6"/>
        <v>1</v>
      </c>
      <c r="BP6" s="74">
        <f t="shared" si="6"/>
        <v>1</v>
      </c>
      <c r="BQ6" s="74">
        <f t="shared" si="6"/>
        <v>1</v>
      </c>
      <c r="BR6" s="74">
        <f t="shared" si="6"/>
        <v>1</v>
      </c>
      <c r="BS6" s="74">
        <f t="shared" si="6"/>
        <v>1</v>
      </c>
      <c r="BT6" s="74">
        <f t="shared" si="6"/>
        <v>1</v>
      </c>
      <c r="BU6" s="74">
        <f>SUM(tblSOW6[[#This Row],[P1]:[P12]])</f>
        <v>12</v>
      </c>
      <c r="BV6" s="74">
        <f xml:space="preserve"> IF(AND(ISNUMBER(SEARCH("-E000",tblSOW6[[#This Row],[Budget Item]])), ISERROR(VLOOKUP(tblSOW6[[#This Row],[Employee name ]],[28]Parameters!CP:DH,19,0))),VLOOKUP(tblSOW6[[#This Row],[Employee name ]],[28]Parameters!CP:DH,19,0),IFERROR(VLOOKUP(tblSOW6[[#This Row],[Employee name ]],[28]Parameters!CP:DH,19,0),0))</f>
        <v>0</v>
      </c>
      <c r="BW6" s="74">
        <f>IFERROR(VLOOKUP(K6,[28]Parameters!BN:BW,10,0),0)</f>
        <v>905.95983041799695</v>
      </c>
    </row>
    <row r="7" spans="1:154" s="75" customFormat="1" ht="18.75" customHeight="1">
      <c r="A7" s="67" t="str">
        <f>CONCATENATE(INDEX([28]Parameters!$U$1:$V$20,MATCH(C7,[28]Parameters!$V$1:$V$20,0),1),"/",VLOOKUP(D7,[28]Parameters!$CG$1:$CH$12,2,0),".",E7,".",H7,".",LEFT(J7,3),"-",LEFT(K7,4))</f>
        <v>B40/20.P271.405.951-T103</v>
      </c>
      <c r="B7" s="67" t="s">
        <v>111</v>
      </c>
      <c r="C7" s="67" t="s">
        <v>118</v>
      </c>
      <c r="D7" s="39" t="s">
        <v>95</v>
      </c>
      <c r="E7" s="40" t="str">
        <f>VLOOKUP(F7,[28]Parameters!P:T,4,0)</f>
        <v>P271</v>
      </c>
      <c r="F7" s="39" t="s">
        <v>120</v>
      </c>
      <c r="G7" s="67"/>
      <c r="H7" s="44">
        <f>INDEX([28]Parameters!$B:$C,MATCH(I7,[28]Parameters!$C:$C,0),1)</f>
        <v>405</v>
      </c>
      <c r="I7" s="68" t="s">
        <v>98</v>
      </c>
      <c r="J7" s="68" t="s">
        <v>93</v>
      </c>
      <c r="K7" s="68" t="s">
        <v>99</v>
      </c>
      <c r="L7" s="68"/>
      <c r="M7" s="69"/>
      <c r="N7" s="67"/>
      <c r="O7" s="67"/>
      <c r="P7" s="72">
        <v>44927</v>
      </c>
      <c r="Q7" s="72">
        <v>45291</v>
      </c>
      <c r="R7" s="68"/>
      <c r="S7" s="67">
        <f t="shared" si="0"/>
        <v>12</v>
      </c>
      <c r="T7" s="68"/>
      <c r="U7" s="68">
        <v>99</v>
      </c>
      <c r="V7" s="68"/>
      <c r="W7" s="68" t="str">
        <f>IF(AND(ISNUMBER(SEARCH("-T",tblSOW6[[#This Row],[Budget Item]])),NOT(ISNUMBER(tblSOW6[[#This Row],[Task Units]]))),"Please Enter Task Units",
IF(AND(ISNUMBER(SEARCH("-E000",tblSOW6[[#This Row],[Budget Item]])),NOT(ISNUMBER(tblSOW6[[#This Row],[% work on project]]))),"Please Enter Organic FTE",
IF(AND(ISNUMBER(SEARCH("-E999",tblSOW6[[#This Row],[Budget Item]])),NOT(ISNUMBER(tblSOW6[[#This Row],[External Expenses/Revenues USD]]))),"Please Enter External Expenses",
"")))</f>
        <v/>
      </c>
      <c r="X7" s="67">
        <f>SUM(tblSOW6[[#This Row],[Jan 2023 USD]:[Dec 2023 USD]])</f>
        <v>74391.847207662591</v>
      </c>
      <c r="Y7" s="74">
        <f>tblSOW6[[#This Row],[FTE Cost]]*tblSOW6[[#This Row],[% work on project]]*AK7/12+tblSOW6[[#This Row],[Task Cost]]*AW7+tblSOW6[[#This Row],[External Expenses/Revenues USD]]*BI7/tblSOW6[[#This Row],[Duration]]</f>
        <v>6199.320600638549</v>
      </c>
      <c r="Z7" s="74">
        <f>tblSOW6[[#This Row],[FTE Cost]]*tblSOW6[[#This Row],[% work on project]]*AL7/12+tblSOW6[[#This Row],[Task Cost]]*AX7+tblSOW6[[#This Row],[External Expenses/Revenues USD]]*BJ7/tblSOW6[[#This Row],[Duration]]</f>
        <v>6199.320600638549</v>
      </c>
      <c r="AA7" s="74">
        <f>tblSOW6[[#This Row],[FTE Cost]]*tblSOW6[[#This Row],[% work on project]]*AM7/12+tblSOW6[[#This Row],[Task Cost]]*AY7+tblSOW6[[#This Row],[External Expenses/Revenues USD]]*BK7/tblSOW6[[#This Row],[Duration]]</f>
        <v>6199.320600638549</v>
      </c>
      <c r="AB7" s="74">
        <f>tblSOW6[[#This Row],[FTE Cost]]*tblSOW6[[#This Row],[% work on project]]*AN7/12+tblSOW6[[#This Row],[Task Cost]]*AZ7+tblSOW6[[#This Row],[External Expenses/Revenues USD]]*BL7/tblSOW6[[#This Row],[Duration]]</f>
        <v>6199.320600638549</v>
      </c>
      <c r="AC7" s="74">
        <f>tblSOW6[[#This Row],[FTE Cost]]*tblSOW6[[#This Row],[% work on project]]*AO7/12+tblSOW6[[#This Row],[Task Cost]]*BA7+tblSOW6[[#This Row],[External Expenses/Revenues USD]]*BM7/tblSOW6[[#This Row],[Duration]]</f>
        <v>6199.320600638549</v>
      </c>
      <c r="AD7" s="74">
        <f>tblSOW6[[#This Row],[FTE Cost]]*tblSOW6[[#This Row],[% work on project]]*AP7/12+tblSOW6[[#This Row],[Task Cost]]*BB7+tblSOW6[[#This Row],[External Expenses/Revenues USD]]*BN7/tblSOW6[[#This Row],[Duration]]</f>
        <v>6199.320600638549</v>
      </c>
      <c r="AE7" s="74">
        <f>tblSOW6[[#This Row],[FTE Cost]]*tblSOW6[[#This Row],[% work on project]]*AQ7/12+tblSOW6[[#This Row],[Task Cost]]*BC7+tblSOW6[[#This Row],[External Expenses/Revenues USD]]*BO7/tblSOW6[[#This Row],[Duration]]</f>
        <v>6199.320600638549</v>
      </c>
      <c r="AF7" s="74">
        <f>tblSOW6[[#This Row],[FTE Cost]]*tblSOW6[[#This Row],[% work on project]]*AR7/12+tblSOW6[[#This Row],[Task Cost]]*BD7+tblSOW6[[#This Row],[External Expenses/Revenues USD]]*BP7/tblSOW6[[#This Row],[Duration]]</f>
        <v>6199.320600638549</v>
      </c>
      <c r="AG7" s="74">
        <f>tblSOW6[[#This Row],[FTE Cost]]*tblSOW6[[#This Row],[% work on project]]*AS7/12+tblSOW6[[#This Row],[Task Cost]]*BE7+tblSOW6[[#This Row],[External Expenses/Revenues USD]]*BQ7/tblSOW6[[#This Row],[Duration]]</f>
        <v>6199.320600638549</v>
      </c>
      <c r="AH7" s="74">
        <f>tblSOW6[[#This Row],[FTE Cost]]*tblSOW6[[#This Row],[% work on project]]*AT7/12+tblSOW6[[#This Row],[Task Cost]]*BF7+tblSOW6[[#This Row],[External Expenses/Revenues USD]]*BR7/tblSOW6[[#This Row],[Duration]]</f>
        <v>6199.320600638549</v>
      </c>
      <c r="AI7" s="74">
        <f>tblSOW6[[#This Row],[FTE Cost]]*tblSOW6[[#This Row],[% work on project]]*AU7/12+tblSOW6[[#This Row],[Task Cost]]*BG7+tblSOW6[[#This Row],[External Expenses/Revenues USD]]*BS7/tblSOW6[[#This Row],[Duration]]</f>
        <v>6199.320600638549</v>
      </c>
      <c r="AJ7" s="74">
        <f>tblSOW6[[#This Row],[FTE Cost]]*tblSOW6[[#This Row],[% work on project]]*AV7/12+tblSOW6[[#This Row],[Task Cost]]*BH7+tblSOW6[[#This Row],[External Expenses/Revenues USD]]*BT7/tblSOW6[[#This Row],[Duration]]</f>
        <v>6199.320600638549</v>
      </c>
      <c r="AK7" s="74">
        <f t="shared" si="1"/>
        <v>1</v>
      </c>
      <c r="AL7" s="74">
        <f t="shared" si="1"/>
        <v>1</v>
      </c>
      <c r="AM7" s="74">
        <f t="shared" si="1"/>
        <v>1</v>
      </c>
      <c r="AN7" s="74">
        <f t="shared" si="2"/>
        <v>1</v>
      </c>
      <c r="AO7" s="74">
        <f t="shared" si="2"/>
        <v>1</v>
      </c>
      <c r="AP7" s="74">
        <f t="shared" si="2"/>
        <v>1</v>
      </c>
      <c r="AQ7" s="74">
        <f t="shared" si="2"/>
        <v>1</v>
      </c>
      <c r="AR7" s="74">
        <f t="shared" si="2"/>
        <v>1</v>
      </c>
      <c r="AS7" s="74">
        <f t="shared" si="2"/>
        <v>1</v>
      </c>
      <c r="AT7" s="74">
        <f t="shared" si="2"/>
        <v>1</v>
      </c>
      <c r="AU7" s="74">
        <f t="shared" si="2"/>
        <v>1</v>
      </c>
      <c r="AV7" s="74">
        <f t="shared" si="2"/>
        <v>1</v>
      </c>
      <c r="AW7" s="74">
        <f t="shared" si="3"/>
        <v>8.25</v>
      </c>
      <c r="AX7" s="74">
        <f t="shared" si="3"/>
        <v>8.25</v>
      </c>
      <c r="AY7" s="74">
        <f t="shared" si="3"/>
        <v>8.25</v>
      </c>
      <c r="AZ7" s="74">
        <f t="shared" si="4"/>
        <v>8.25</v>
      </c>
      <c r="BA7" s="74">
        <f t="shared" si="4"/>
        <v>8.25</v>
      </c>
      <c r="BB7" s="74">
        <f t="shared" si="4"/>
        <v>8.25</v>
      </c>
      <c r="BC7" s="74">
        <f t="shared" si="4"/>
        <v>8.25</v>
      </c>
      <c r="BD7" s="74">
        <f t="shared" si="4"/>
        <v>8.25</v>
      </c>
      <c r="BE7" s="74">
        <f t="shared" si="4"/>
        <v>8.25</v>
      </c>
      <c r="BF7" s="74">
        <f t="shared" si="4"/>
        <v>8.25</v>
      </c>
      <c r="BG7" s="74">
        <f t="shared" si="4"/>
        <v>8.25</v>
      </c>
      <c r="BH7" s="74">
        <f t="shared" si="4"/>
        <v>8.25</v>
      </c>
      <c r="BI7" s="74">
        <f t="shared" si="6"/>
        <v>1</v>
      </c>
      <c r="BJ7" s="74">
        <f t="shared" si="6"/>
        <v>1</v>
      </c>
      <c r="BK7" s="74">
        <f t="shared" si="6"/>
        <v>1</v>
      </c>
      <c r="BL7" s="74">
        <f t="shared" si="6"/>
        <v>1</v>
      </c>
      <c r="BM7" s="74">
        <f t="shared" si="6"/>
        <v>1</v>
      </c>
      <c r="BN7" s="74">
        <f t="shared" si="6"/>
        <v>1</v>
      </c>
      <c r="BO7" s="74">
        <f t="shared" si="6"/>
        <v>1</v>
      </c>
      <c r="BP7" s="74">
        <f t="shared" si="6"/>
        <v>1</v>
      </c>
      <c r="BQ7" s="74">
        <f t="shared" si="6"/>
        <v>1</v>
      </c>
      <c r="BR7" s="74">
        <f t="shared" si="6"/>
        <v>1</v>
      </c>
      <c r="BS7" s="74">
        <f t="shared" si="6"/>
        <v>1</v>
      </c>
      <c r="BT7" s="74">
        <f t="shared" si="6"/>
        <v>1</v>
      </c>
      <c r="BU7" s="74">
        <f>SUM(tblSOW6[[#This Row],[P1]:[P12]])</f>
        <v>12</v>
      </c>
      <c r="BV7" s="74">
        <f xml:space="preserve"> IF(AND(ISNUMBER(SEARCH("-E000",tblSOW6[[#This Row],[Budget Item]])), ISERROR(VLOOKUP(tblSOW6[[#This Row],[Employee name ]],[28]Parameters!CP:DH,19,0))),VLOOKUP(tblSOW6[[#This Row],[Employee name ]],[28]Parameters!CP:DH,19,0),IFERROR(VLOOKUP(tblSOW6[[#This Row],[Employee name ]],[28]Parameters!CP:DH,19,0),0))</f>
        <v>0</v>
      </c>
      <c r="BW7" s="74">
        <f>IFERROR(VLOOKUP(K7,[28]Parameters!BN:BW,10,0),0)</f>
        <v>751.43280007739986</v>
      </c>
    </row>
    <row r="8" spans="1:154" s="75" customFormat="1" ht="18.75" customHeight="1">
      <c r="A8" s="67" t="str">
        <f>CONCATENATE(INDEX([28]Parameters!$U$1:$V$20,MATCH(C8,[28]Parameters!$V$1:$V$20,0),1),"/",VLOOKUP(D8,[28]Parameters!$CG$1:$CH$12,2,0),".",E8,".",H8,".",LEFT(J8,3),"-",LEFT(K8,4))</f>
        <v>B40/20.P271.420.951-T105</v>
      </c>
      <c r="B8" s="67" t="s">
        <v>111</v>
      </c>
      <c r="C8" s="67" t="s">
        <v>118</v>
      </c>
      <c r="D8" s="39" t="s">
        <v>95</v>
      </c>
      <c r="E8" s="40" t="str">
        <f>VLOOKUP(F8,[28]Parameters!P:T,4,0)</f>
        <v>P271</v>
      </c>
      <c r="F8" s="39" t="s">
        <v>120</v>
      </c>
      <c r="G8" s="67"/>
      <c r="H8" s="44">
        <f>INDEX([28]Parameters!$B:$C,MATCH(I8,[28]Parameters!$C:$C,0),1)</f>
        <v>420</v>
      </c>
      <c r="I8" s="68" t="s">
        <v>113</v>
      </c>
      <c r="J8" s="68" t="s">
        <v>93</v>
      </c>
      <c r="K8" s="68" t="s">
        <v>122</v>
      </c>
      <c r="L8" s="68"/>
      <c r="M8" s="69"/>
      <c r="N8" s="67"/>
      <c r="O8" s="67"/>
      <c r="P8" s="72">
        <v>44927</v>
      </c>
      <c r="Q8" s="72">
        <v>45291</v>
      </c>
      <c r="R8" s="68"/>
      <c r="S8" s="67">
        <f t="shared" si="0"/>
        <v>12</v>
      </c>
      <c r="T8" s="68"/>
      <c r="U8" s="68">
        <v>275</v>
      </c>
      <c r="V8" s="68"/>
      <c r="W8" s="68" t="str">
        <f>IF(AND(ISNUMBER(SEARCH("-T",tblSOW6[[#This Row],[Budget Item]])),NOT(ISNUMBER(tblSOW6[[#This Row],[Task Units]]))),"Please Enter Task Units",
IF(AND(ISNUMBER(SEARCH("-E000",tblSOW6[[#This Row],[Budget Item]])),NOT(ISNUMBER(tblSOW6[[#This Row],[% work on project]]))),"Please Enter Organic FTE",
IF(AND(ISNUMBER(SEARCH("-E999",tblSOW6[[#This Row],[Budget Item]])),NOT(ISNUMBER(tblSOW6[[#This Row],[External Expenses/Revenues USD]]))),"Please Enter External Expenses",
"")))</f>
        <v/>
      </c>
      <c r="X8" s="67">
        <f>SUM(tblSOW6[[#This Row],[Jan 2023 USD]:[Dec 2023 USD]])</f>
        <v>263030.47282133449</v>
      </c>
      <c r="Y8" s="74">
        <f>tblSOW6[[#This Row],[FTE Cost]]*tblSOW6[[#This Row],[% work on project]]*AK8/12+tblSOW6[[#This Row],[Task Cost]]*AW8+tblSOW6[[#This Row],[External Expenses/Revenues USD]]*BI8/tblSOW6[[#This Row],[Duration]]</f>
        <v>21919.206068444546</v>
      </c>
      <c r="Z8" s="74">
        <f>tblSOW6[[#This Row],[FTE Cost]]*tblSOW6[[#This Row],[% work on project]]*AL8/12+tblSOW6[[#This Row],[Task Cost]]*AX8+tblSOW6[[#This Row],[External Expenses/Revenues USD]]*BJ8/tblSOW6[[#This Row],[Duration]]</f>
        <v>21919.206068444546</v>
      </c>
      <c r="AA8" s="74">
        <f>tblSOW6[[#This Row],[FTE Cost]]*tblSOW6[[#This Row],[% work on project]]*AM8/12+tblSOW6[[#This Row],[Task Cost]]*AY8+tblSOW6[[#This Row],[External Expenses/Revenues USD]]*BK8/tblSOW6[[#This Row],[Duration]]</f>
        <v>21919.206068444546</v>
      </c>
      <c r="AB8" s="74">
        <f>tblSOW6[[#This Row],[FTE Cost]]*tblSOW6[[#This Row],[% work on project]]*AN8/12+tblSOW6[[#This Row],[Task Cost]]*AZ8+tblSOW6[[#This Row],[External Expenses/Revenues USD]]*BL8/tblSOW6[[#This Row],[Duration]]</f>
        <v>21919.206068444546</v>
      </c>
      <c r="AC8" s="74">
        <f>tblSOW6[[#This Row],[FTE Cost]]*tblSOW6[[#This Row],[% work on project]]*AO8/12+tblSOW6[[#This Row],[Task Cost]]*BA8+tblSOW6[[#This Row],[External Expenses/Revenues USD]]*BM8/tblSOW6[[#This Row],[Duration]]</f>
        <v>21919.206068444546</v>
      </c>
      <c r="AD8" s="74">
        <f>tblSOW6[[#This Row],[FTE Cost]]*tblSOW6[[#This Row],[% work on project]]*AP8/12+tblSOW6[[#This Row],[Task Cost]]*BB8+tblSOW6[[#This Row],[External Expenses/Revenues USD]]*BN8/tblSOW6[[#This Row],[Duration]]</f>
        <v>21919.206068444546</v>
      </c>
      <c r="AE8" s="74">
        <f>tblSOW6[[#This Row],[FTE Cost]]*tblSOW6[[#This Row],[% work on project]]*AQ8/12+tblSOW6[[#This Row],[Task Cost]]*BC8+tblSOW6[[#This Row],[External Expenses/Revenues USD]]*BO8/tblSOW6[[#This Row],[Duration]]</f>
        <v>21919.206068444546</v>
      </c>
      <c r="AF8" s="74">
        <f>tblSOW6[[#This Row],[FTE Cost]]*tblSOW6[[#This Row],[% work on project]]*AR8/12+tblSOW6[[#This Row],[Task Cost]]*BD8+tblSOW6[[#This Row],[External Expenses/Revenues USD]]*BP8/tblSOW6[[#This Row],[Duration]]</f>
        <v>21919.206068444546</v>
      </c>
      <c r="AG8" s="74">
        <f>tblSOW6[[#This Row],[FTE Cost]]*tblSOW6[[#This Row],[% work on project]]*AS8/12+tblSOW6[[#This Row],[Task Cost]]*BE8+tblSOW6[[#This Row],[External Expenses/Revenues USD]]*BQ8/tblSOW6[[#This Row],[Duration]]</f>
        <v>21919.206068444546</v>
      </c>
      <c r="AH8" s="74">
        <f>tblSOW6[[#This Row],[FTE Cost]]*tblSOW6[[#This Row],[% work on project]]*AT8/12+tblSOW6[[#This Row],[Task Cost]]*BF8+tblSOW6[[#This Row],[External Expenses/Revenues USD]]*BR8/tblSOW6[[#This Row],[Duration]]</f>
        <v>21919.206068444546</v>
      </c>
      <c r="AI8" s="74">
        <f>tblSOW6[[#This Row],[FTE Cost]]*tblSOW6[[#This Row],[% work on project]]*AU8/12+tblSOW6[[#This Row],[Task Cost]]*BG8+tblSOW6[[#This Row],[External Expenses/Revenues USD]]*BS8/tblSOW6[[#This Row],[Duration]]</f>
        <v>21919.206068444546</v>
      </c>
      <c r="AJ8" s="74">
        <f>tblSOW6[[#This Row],[FTE Cost]]*tblSOW6[[#This Row],[% work on project]]*AV8/12+tblSOW6[[#This Row],[Task Cost]]*BH8+tblSOW6[[#This Row],[External Expenses/Revenues USD]]*BT8/tblSOW6[[#This Row],[Duration]]</f>
        <v>21919.206068444546</v>
      </c>
      <c r="AK8" s="74">
        <f t="shared" si="1"/>
        <v>1</v>
      </c>
      <c r="AL8" s="74">
        <f t="shared" si="1"/>
        <v>1</v>
      </c>
      <c r="AM8" s="74">
        <f t="shared" si="1"/>
        <v>1</v>
      </c>
      <c r="AN8" s="74">
        <f t="shared" si="2"/>
        <v>1</v>
      </c>
      <c r="AO8" s="74">
        <f t="shared" si="2"/>
        <v>1</v>
      </c>
      <c r="AP8" s="74">
        <f t="shared" si="2"/>
        <v>1</v>
      </c>
      <c r="AQ8" s="74">
        <f t="shared" si="2"/>
        <v>1</v>
      </c>
      <c r="AR8" s="74">
        <f t="shared" si="2"/>
        <v>1</v>
      </c>
      <c r="AS8" s="74">
        <f t="shared" si="2"/>
        <v>1</v>
      </c>
      <c r="AT8" s="74">
        <f t="shared" si="2"/>
        <v>1</v>
      </c>
      <c r="AU8" s="74">
        <f t="shared" si="2"/>
        <v>1</v>
      </c>
      <c r="AV8" s="74">
        <f t="shared" si="2"/>
        <v>1</v>
      </c>
      <c r="AW8" s="74">
        <f t="shared" si="3"/>
        <v>22.916666666666668</v>
      </c>
      <c r="AX8" s="74">
        <f t="shared" si="3"/>
        <v>22.916666666666668</v>
      </c>
      <c r="AY8" s="74">
        <f t="shared" si="3"/>
        <v>22.916666666666668</v>
      </c>
      <c r="AZ8" s="74">
        <f t="shared" si="4"/>
        <v>22.916666666666668</v>
      </c>
      <c r="BA8" s="74">
        <f t="shared" si="4"/>
        <v>22.916666666666668</v>
      </c>
      <c r="BB8" s="74">
        <f t="shared" si="4"/>
        <v>22.916666666666668</v>
      </c>
      <c r="BC8" s="74">
        <f t="shared" si="4"/>
        <v>22.916666666666668</v>
      </c>
      <c r="BD8" s="74">
        <f t="shared" si="4"/>
        <v>22.916666666666668</v>
      </c>
      <c r="BE8" s="74">
        <f t="shared" si="4"/>
        <v>22.916666666666668</v>
      </c>
      <c r="BF8" s="74">
        <f t="shared" si="4"/>
        <v>22.916666666666668</v>
      </c>
      <c r="BG8" s="74">
        <f t="shared" si="4"/>
        <v>22.916666666666668</v>
      </c>
      <c r="BH8" s="74">
        <f t="shared" si="4"/>
        <v>22.916666666666668</v>
      </c>
      <c r="BI8" s="74">
        <f t="shared" si="6"/>
        <v>1</v>
      </c>
      <c r="BJ8" s="74">
        <f t="shared" si="6"/>
        <v>1</v>
      </c>
      <c r="BK8" s="74">
        <f t="shared" si="6"/>
        <v>1</v>
      </c>
      <c r="BL8" s="74">
        <f t="shared" si="6"/>
        <v>1</v>
      </c>
      <c r="BM8" s="74">
        <f t="shared" si="6"/>
        <v>1</v>
      </c>
      <c r="BN8" s="74">
        <f t="shared" si="6"/>
        <v>1</v>
      </c>
      <c r="BO8" s="74">
        <f t="shared" si="6"/>
        <v>1</v>
      </c>
      <c r="BP8" s="74">
        <f t="shared" si="6"/>
        <v>1</v>
      </c>
      <c r="BQ8" s="74">
        <f t="shared" si="6"/>
        <v>1</v>
      </c>
      <c r="BR8" s="74">
        <f t="shared" si="6"/>
        <v>1</v>
      </c>
      <c r="BS8" s="74">
        <f t="shared" si="6"/>
        <v>1</v>
      </c>
      <c r="BT8" s="74">
        <f t="shared" si="6"/>
        <v>1</v>
      </c>
      <c r="BU8" s="74">
        <f>SUM(tblSOW6[[#This Row],[P1]:[P12]])</f>
        <v>12</v>
      </c>
      <c r="BV8" s="74">
        <f xml:space="preserve"> IF(AND(ISNUMBER(SEARCH("-E000",tblSOW6[[#This Row],[Budget Item]])), ISERROR(VLOOKUP(tblSOW6[[#This Row],[Employee name ]],[28]Parameters!CP:DH,19,0))),VLOOKUP(tblSOW6[[#This Row],[Employee name ]],[28]Parameters!CP:DH,19,0),IFERROR(VLOOKUP(tblSOW6[[#This Row],[Employee name ]],[28]Parameters!CP:DH,19,0),0))</f>
        <v>0</v>
      </c>
      <c r="BW8" s="74">
        <f>IFERROR(VLOOKUP(K8,[28]Parameters!BN:BW,10,0),0)</f>
        <v>956.47444662303462</v>
      </c>
    </row>
    <row r="9" spans="1:154" s="75" customFormat="1" ht="18.75" customHeight="1">
      <c r="A9" s="67" t="str">
        <f>CONCATENATE(INDEX([28]Parameters!$U$1:$V$20,MATCH(C9,[28]Parameters!$V$1:$V$20,0),1),"/",VLOOKUP(D9,[28]Parameters!$CG$1:$CH$12,2,0),".",E9,".",H9,".",LEFT(J9,3),"-",LEFT(K9,4))</f>
        <v>B40/20.P279.422.950-T115</v>
      </c>
      <c r="B9" s="67" t="s">
        <v>111</v>
      </c>
      <c r="C9" s="67" t="s">
        <v>118</v>
      </c>
      <c r="D9" s="39" t="s">
        <v>95</v>
      </c>
      <c r="E9" s="40" t="str">
        <f>VLOOKUP(F9,[28]Parameters!P:T,4,0)</f>
        <v>P279</v>
      </c>
      <c r="F9" s="39" t="s">
        <v>119</v>
      </c>
      <c r="G9" s="67"/>
      <c r="H9" s="44">
        <f>INDEX([28]Parameters!$B:$C,MATCH(I9,[28]Parameters!$C:$C,0),1)</f>
        <v>422</v>
      </c>
      <c r="I9" s="68" t="s">
        <v>110</v>
      </c>
      <c r="J9" s="68" t="s">
        <v>94</v>
      </c>
      <c r="K9" s="68" t="s">
        <v>121</v>
      </c>
      <c r="L9" s="68"/>
      <c r="M9" s="69"/>
      <c r="N9" s="67"/>
      <c r="O9" s="67"/>
      <c r="P9" s="72">
        <v>44927</v>
      </c>
      <c r="Q9" s="72">
        <v>45291</v>
      </c>
      <c r="R9" s="68"/>
      <c r="S9" s="67">
        <f t="shared" si="0"/>
        <v>12</v>
      </c>
      <c r="T9" s="68"/>
      <c r="U9" s="68">
        <v>105</v>
      </c>
      <c r="V9" s="68"/>
      <c r="W9" s="68" t="str">
        <f>IF(AND(ISNUMBER(SEARCH("-T",tblSOW6[[#This Row],[Budget Item]])),NOT(ISNUMBER(tblSOW6[[#This Row],[Task Units]]))),"Please Enter Task Units",
IF(AND(ISNUMBER(SEARCH("-E000",tblSOW6[[#This Row],[Budget Item]])),NOT(ISNUMBER(tblSOW6[[#This Row],[% work on project]]))),"Please Enter Organic FTE",
IF(AND(ISNUMBER(SEARCH("-E999",tblSOW6[[#This Row],[Budget Item]])),NOT(ISNUMBER(tblSOW6[[#This Row],[External Expenses/Revenues USD]]))),"Please Enter External Expenses",
"")))</f>
        <v/>
      </c>
      <c r="X9" s="67">
        <f>SUM(tblSOW6[[#This Row],[Jan 2023 USD]:[Dec 2023 USD]])</f>
        <v>116284.4258881897</v>
      </c>
      <c r="Y9" s="74">
        <f>tblSOW6[[#This Row],[FTE Cost]]*tblSOW6[[#This Row],[% work on project]]*AK9/12+tblSOW6[[#This Row],[Task Cost]]*AW9+tblSOW6[[#This Row],[External Expenses/Revenues USD]]*BI9/tblSOW6[[#This Row],[Duration]]</f>
        <v>9690.3688240158081</v>
      </c>
      <c r="Z9" s="74">
        <f>tblSOW6[[#This Row],[FTE Cost]]*tblSOW6[[#This Row],[% work on project]]*AL9/12+tblSOW6[[#This Row],[Task Cost]]*AX9+tblSOW6[[#This Row],[External Expenses/Revenues USD]]*BJ9/tblSOW6[[#This Row],[Duration]]</f>
        <v>9690.3688240158081</v>
      </c>
      <c r="AA9" s="74">
        <f>tblSOW6[[#This Row],[FTE Cost]]*tblSOW6[[#This Row],[% work on project]]*AM9/12+tblSOW6[[#This Row],[Task Cost]]*AY9+tblSOW6[[#This Row],[External Expenses/Revenues USD]]*BK9/tblSOW6[[#This Row],[Duration]]</f>
        <v>9690.3688240158081</v>
      </c>
      <c r="AB9" s="74">
        <f>tblSOW6[[#This Row],[FTE Cost]]*tblSOW6[[#This Row],[% work on project]]*AN9/12+tblSOW6[[#This Row],[Task Cost]]*AZ9+tblSOW6[[#This Row],[External Expenses/Revenues USD]]*BL9/tblSOW6[[#This Row],[Duration]]</f>
        <v>9690.3688240158081</v>
      </c>
      <c r="AC9" s="74">
        <f>tblSOW6[[#This Row],[FTE Cost]]*tblSOW6[[#This Row],[% work on project]]*AO9/12+tblSOW6[[#This Row],[Task Cost]]*BA9+tblSOW6[[#This Row],[External Expenses/Revenues USD]]*BM9/tblSOW6[[#This Row],[Duration]]</f>
        <v>9690.3688240158081</v>
      </c>
      <c r="AD9" s="74">
        <f>tblSOW6[[#This Row],[FTE Cost]]*tblSOW6[[#This Row],[% work on project]]*AP9/12+tblSOW6[[#This Row],[Task Cost]]*BB9+tblSOW6[[#This Row],[External Expenses/Revenues USD]]*BN9/tblSOW6[[#This Row],[Duration]]</f>
        <v>9690.3688240158081</v>
      </c>
      <c r="AE9" s="74">
        <f>tblSOW6[[#This Row],[FTE Cost]]*tblSOW6[[#This Row],[% work on project]]*AQ9/12+tblSOW6[[#This Row],[Task Cost]]*BC9+tblSOW6[[#This Row],[External Expenses/Revenues USD]]*BO9/tblSOW6[[#This Row],[Duration]]</f>
        <v>9690.3688240158081</v>
      </c>
      <c r="AF9" s="74">
        <f>tblSOW6[[#This Row],[FTE Cost]]*tblSOW6[[#This Row],[% work on project]]*AR9/12+tblSOW6[[#This Row],[Task Cost]]*BD9+tblSOW6[[#This Row],[External Expenses/Revenues USD]]*BP9/tblSOW6[[#This Row],[Duration]]</f>
        <v>9690.3688240158081</v>
      </c>
      <c r="AG9" s="74">
        <f>tblSOW6[[#This Row],[FTE Cost]]*tblSOW6[[#This Row],[% work on project]]*AS9/12+tblSOW6[[#This Row],[Task Cost]]*BE9+tblSOW6[[#This Row],[External Expenses/Revenues USD]]*BQ9/tblSOW6[[#This Row],[Duration]]</f>
        <v>9690.3688240158081</v>
      </c>
      <c r="AH9" s="74">
        <f>tblSOW6[[#This Row],[FTE Cost]]*tblSOW6[[#This Row],[% work on project]]*AT9/12+tblSOW6[[#This Row],[Task Cost]]*BF9+tblSOW6[[#This Row],[External Expenses/Revenues USD]]*BR9/tblSOW6[[#This Row],[Duration]]</f>
        <v>9690.3688240158081</v>
      </c>
      <c r="AI9" s="74">
        <f>tblSOW6[[#This Row],[FTE Cost]]*tblSOW6[[#This Row],[% work on project]]*AU9/12+tblSOW6[[#This Row],[Task Cost]]*BG9+tblSOW6[[#This Row],[External Expenses/Revenues USD]]*BS9/tblSOW6[[#This Row],[Duration]]</f>
        <v>9690.3688240158081</v>
      </c>
      <c r="AJ9" s="74">
        <f>tblSOW6[[#This Row],[FTE Cost]]*tblSOW6[[#This Row],[% work on project]]*AV9/12+tblSOW6[[#This Row],[Task Cost]]*BH9+tblSOW6[[#This Row],[External Expenses/Revenues USD]]*BT9/tblSOW6[[#This Row],[Duration]]</f>
        <v>9690.3688240158081</v>
      </c>
      <c r="AK9" s="74">
        <f t="shared" ref="AK9:AM13" si="7">$S9/$BU9*BI9</f>
        <v>1</v>
      </c>
      <c r="AL9" s="74">
        <f t="shared" si="7"/>
        <v>1</v>
      </c>
      <c r="AM9" s="74">
        <f t="shared" si="7"/>
        <v>1</v>
      </c>
      <c r="AN9" s="74">
        <f t="shared" ref="AN9:AP13" si="8">$S9/$BU9*BL9</f>
        <v>1</v>
      </c>
      <c r="AO9" s="74">
        <f t="shared" si="8"/>
        <v>1</v>
      </c>
      <c r="AP9" s="74">
        <f t="shared" si="8"/>
        <v>1</v>
      </c>
      <c r="AQ9" s="74">
        <f t="shared" ref="AQ9:AV13" si="9">$S9/$BU9*BO9</f>
        <v>1</v>
      </c>
      <c r="AR9" s="74">
        <f t="shared" si="9"/>
        <v>1</v>
      </c>
      <c r="AS9" s="74">
        <f t="shared" si="9"/>
        <v>1</v>
      </c>
      <c r="AT9" s="74">
        <f t="shared" si="9"/>
        <v>1</v>
      </c>
      <c r="AU9" s="74">
        <f t="shared" si="9"/>
        <v>1</v>
      </c>
      <c r="AV9" s="74">
        <f t="shared" si="9"/>
        <v>1</v>
      </c>
      <c r="AW9" s="74">
        <f t="shared" ref="AW9:AY13" si="10">$U9/$BU9*BI9</f>
        <v>8.75</v>
      </c>
      <c r="AX9" s="74">
        <f t="shared" si="10"/>
        <v>8.75</v>
      </c>
      <c r="AY9" s="74">
        <f t="shared" si="10"/>
        <v>8.75</v>
      </c>
      <c r="AZ9" s="74">
        <f t="shared" ref="AZ9:BB13" si="11">$U9/$BU9*BL9</f>
        <v>8.75</v>
      </c>
      <c r="BA9" s="74">
        <f t="shared" si="11"/>
        <v>8.75</v>
      </c>
      <c r="BB9" s="74">
        <f t="shared" si="11"/>
        <v>8.75</v>
      </c>
      <c r="BC9" s="74">
        <f t="shared" ref="BC9:BH13" si="12">$U9/$BU9*BO9</f>
        <v>8.75</v>
      </c>
      <c r="BD9" s="74">
        <f t="shared" si="12"/>
        <v>8.75</v>
      </c>
      <c r="BE9" s="74">
        <f t="shared" si="12"/>
        <v>8.75</v>
      </c>
      <c r="BF9" s="74">
        <f t="shared" si="12"/>
        <v>8.75</v>
      </c>
      <c r="BG9" s="74">
        <f t="shared" si="12"/>
        <v>8.75</v>
      </c>
      <c r="BH9" s="74">
        <f t="shared" si="12"/>
        <v>8.75</v>
      </c>
      <c r="BI9" s="74">
        <f t="shared" si="6"/>
        <v>1</v>
      </c>
      <c r="BJ9" s="74">
        <f t="shared" si="6"/>
        <v>1</v>
      </c>
      <c r="BK9" s="74">
        <f t="shared" si="6"/>
        <v>1</v>
      </c>
      <c r="BL9" s="74">
        <f t="shared" si="6"/>
        <v>1</v>
      </c>
      <c r="BM9" s="74">
        <f t="shared" si="6"/>
        <v>1</v>
      </c>
      <c r="BN9" s="74">
        <f t="shared" si="6"/>
        <v>1</v>
      </c>
      <c r="BO9" s="74">
        <f t="shared" si="6"/>
        <v>1</v>
      </c>
      <c r="BP9" s="74">
        <f t="shared" si="6"/>
        <v>1</v>
      </c>
      <c r="BQ9" s="74">
        <f t="shared" si="6"/>
        <v>1</v>
      </c>
      <c r="BR9" s="74">
        <f t="shared" si="6"/>
        <v>1</v>
      </c>
      <c r="BS9" s="74">
        <f t="shared" si="6"/>
        <v>1</v>
      </c>
      <c r="BT9" s="74">
        <f t="shared" si="6"/>
        <v>1</v>
      </c>
      <c r="BU9" s="74">
        <f>SUM(tblSOW6[[#This Row],[P1]:[P12]])</f>
        <v>12</v>
      </c>
      <c r="BV9" s="74">
        <f xml:space="preserve"> IF(AND(ISNUMBER(SEARCH("-E000",tblSOW6[[#This Row],[Budget Item]])), ISERROR(VLOOKUP(tblSOW6[[#This Row],[Employee name ]],[28]Parameters!CP:DH,19,0))),VLOOKUP(tblSOW6[[#This Row],[Employee name ]],[28]Parameters!CP:DH,19,0),IFERROR(VLOOKUP(tblSOW6[[#This Row],[Employee name ]],[28]Parameters!CP:DH,19,0),0))</f>
        <v>0</v>
      </c>
      <c r="BW9" s="74">
        <f>IFERROR(VLOOKUP(K9,[28]Parameters!BN:BW,10,0),0)</f>
        <v>1107.4707227446638</v>
      </c>
    </row>
    <row r="10" spans="1:154" s="75" customFormat="1" ht="18.75" customHeight="1">
      <c r="A10" s="67" t="str">
        <f>CONCATENATE(INDEX([28]Parameters!$U$1:$V$20,MATCH(C10,[28]Parameters!$V$1:$V$20,0),1),"/",VLOOKUP(D10,[28]Parameters!$CG$1:$CH$12,2,0),".",E10,".",H10,".",LEFT(J10,3),"-",LEFT(K10,4))</f>
        <v>B40/20.P279.404.950-T102</v>
      </c>
      <c r="B10" s="67" t="s">
        <v>111</v>
      </c>
      <c r="C10" s="67" t="s">
        <v>118</v>
      </c>
      <c r="D10" s="39" t="s">
        <v>95</v>
      </c>
      <c r="E10" s="40" t="str">
        <f>VLOOKUP(F10,[28]Parameters!P:T,4,0)</f>
        <v>P279</v>
      </c>
      <c r="F10" s="39" t="s">
        <v>119</v>
      </c>
      <c r="G10" s="67"/>
      <c r="H10" s="44">
        <f>INDEX([28]Parameters!$B:$C,MATCH(I10,[28]Parameters!$C:$C,0),1)</f>
        <v>404</v>
      </c>
      <c r="I10" s="68" t="s">
        <v>101</v>
      </c>
      <c r="J10" s="68" t="s">
        <v>94</v>
      </c>
      <c r="K10" s="68" t="s">
        <v>102</v>
      </c>
      <c r="L10" s="68"/>
      <c r="M10" s="69"/>
      <c r="N10" s="67"/>
      <c r="O10" s="67"/>
      <c r="P10" s="72">
        <v>44927</v>
      </c>
      <c r="Q10" s="72">
        <v>45291</v>
      </c>
      <c r="R10" s="68"/>
      <c r="S10" s="67">
        <f t="shared" si="0"/>
        <v>12</v>
      </c>
      <c r="T10" s="68"/>
      <c r="U10" s="68">
        <v>27</v>
      </c>
      <c r="V10" s="68"/>
      <c r="W10" s="68" t="str">
        <f>IF(AND(ISNUMBER(SEARCH("-T",tblSOW6[[#This Row],[Budget Item]])),NOT(ISNUMBER(tblSOW6[[#This Row],[Task Units]]))),"Please Enter Task Units",
IF(AND(ISNUMBER(SEARCH("-E000",tblSOW6[[#This Row],[Budget Item]])),NOT(ISNUMBER(tblSOW6[[#This Row],[% work on project]]))),"Please Enter Organic FTE",
IF(AND(ISNUMBER(SEARCH("-E999",tblSOW6[[#This Row],[Budget Item]])),NOT(ISNUMBER(tblSOW6[[#This Row],[External Expenses/Revenues USD]]))),"Please Enter External Expenses",
"")))</f>
        <v/>
      </c>
      <c r="X10" s="67">
        <f>SUM(tblSOW6[[#This Row],[Jan 2023 USD]:[Dec 2023 USD]])</f>
        <v>24610.040967227033</v>
      </c>
      <c r="Y10" s="74">
        <f>tblSOW6[[#This Row],[FTE Cost]]*tblSOW6[[#This Row],[% work on project]]*AK10/12+tblSOW6[[#This Row],[Task Cost]]*AW10+tblSOW6[[#This Row],[External Expenses/Revenues USD]]*BI10/tblSOW6[[#This Row],[Duration]]</f>
        <v>2050.8367472689188</v>
      </c>
      <c r="Z10" s="74">
        <f>tblSOW6[[#This Row],[FTE Cost]]*tblSOW6[[#This Row],[% work on project]]*AL10/12+tblSOW6[[#This Row],[Task Cost]]*AX10+tblSOW6[[#This Row],[External Expenses/Revenues USD]]*BJ10/tblSOW6[[#This Row],[Duration]]</f>
        <v>2050.8367472689188</v>
      </c>
      <c r="AA10" s="74">
        <f>tblSOW6[[#This Row],[FTE Cost]]*tblSOW6[[#This Row],[% work on project]]*AM10/12+tblSOW6[[#This Row],[Task Cost]]*AY10+tblSOW6[[#This Row],[External Expenses/Revenues USD]]*BK10/tblSOW6[[#This Row],[Duration]]</f>
        <v>2050.8367472689188</v>
      </c>
      <c r="AB10" s="74">
        <f>tblSOW6[[#This Row],[FTE Cost]]*tblSOW6[[#This Row],[% work on project]]*AN10/12+tblSOW6[[#This Row],[Task Cost]]*AZ10+tblSOW6[[#This Row],[External Expenses/Revenues USD]]*BL10/tblSOW6[[#This Row],[Duration]]</f>
        <v>2050.8367472689188</v>
      </c>
      <c r="AC10" s="74">
        <f>tblSOW6[[#This Row],[FTE Cost]]*tblSOW6[[#This Row],[% work on project]]*AO10/12+tblSOW6[[#This Row],[Task Cost]]*BA10+tblSOW6[[#This Row],[External Expenses/Revenues USD]]*BM10/tblSOW6[[#This Row],[Duration]]</f>
        <v>2050.8367472689188</v>
      </c>
      <c r="AD10" s="74">
        <f>tblSOW6[[#This Row],[FTE Cost]]*tblSOW6[[#This Row],[% work on project]]*AP10/12+tblSOW6[[#This Row],[Task Cost]]*BB10+tblSOW6[[#This Row],[External Expenses/Revenues USD]]*BN10/tblSOW6[[#This Row],[Duration]]</f>
        <v>2050.8367472689188</v>
      </c>
      <c r="AE10" s="74">
        <f>tblSOW6[[#This Row],[FTE Cost]]*tblSOW6[[#This Row],[% work on project]]*AQ10/12+tblSOW6[[#This Row],[Task Cost]]*BC10+tblSOW6[[#This Row],[External Expenses/Revenues USD]]*BO10/tblSOW6[[#This Row],[Duration]]</f>
        <v>2050.8367472689188</v>
      </c>
      <c r="AF10" s="74">
        <f>tblSOW6[[#This Row],[FTE Cost]]*tblSOW6[[#This Row],[% work on project]]*AR10/12+tblSOW6[[#This Row],[Task Cost]]*BD10+tblSOW6[[#This Row],[External Expenses/Revenues USD]]*BP10/tblSOW6[[#This Row],[Duration]]</f>
        <v>2050.8367472689188</v>
      </c>
      <c r="AG10" s="74">
        <f>tblSOW6[[#This Row],[FTE Cost]]*tblSOW6[[#This Row],[% work on project]]*AS10/12+tblSOW6[[#This Row],[Task Cost]]*BE10+tblSOW6[[#This Row],[External Expenses/Revenues USD]]*BQ10/tblSOW6[[#This Row],[Duration]]</f>
        <v>2050.8367472689188</v>
      </c>
      <c r="AH10" s="74">
        <f>tblSOW6[[#This Row],[FTE Cost]]*tblSOW6[[#This Row],[% work on project]]*AT10/12+tblSOW6[[#This Row],[Task Cost]]*BF10+tblSOW6[[#This Row],[External Expenses/Revenues USD]]*BR10/tblSOW6[[#This Row],[Duration]]</f>
        <v>2050.8367472689188</v>
      </c>
      <c r="AI10" s="74">
        <f>tblSOW6[[#This Row],[FTE Cost]]*tblSOW6[[#This Row],[% work on project]]*AU10/12+tblSOW6[[#This Row],[Task Cost]]*BG10+tblSOW6[[#This Row],[External Expenses/Revenues USD]]*BS10/tblSOW6[[#This Row],[Duration]]</f>
        <v>2050.8367472689188</v>
      </c>
      <c r="AJ10" s="74">
        <f>tblSOW6[[#This Row],[FTE Cost]]*tblSOW6[[#This Row],[% work on project]]*AV10/12+tblSOW6[[#This Row],[Task Cost]]*BH10+tblSOW6[[#This Row],[External Expenses/Revenues USD]]*BT10/tblSOW6[[#This Row],[Duration]]</f>
        <v>2050.8367472689188</v>
      </c>
      <c r="AK10" s="74">
        <f t="shared" si="7"/>
        <v>1</v>
      </c>
      <c r="AL10" s="74">
        <f t="shared" si="7"/>
        <v>1</v>
      </c>
      <c r="AM10" s="74">
        <f t="shared" si="7"/>
        <v>1</v>
      </c>
      <c r="AN10" s="74">
        <f t="shared" si="8"/>
        <v>1</v>
      </c>
      <c r="AO10" s="74">
        <f t="shared" si="8"/>
        <v>1</v>
      </c>
      <c r="AP10" s="74">
        <f t="shared" si="8"/>
        <v>1</v>
      </c>
      <c r="AQ10" s="74">
        <f t="shared" si="9"/>
        <v>1</v>
      </c>
      <c r="AR10" s="74">
        <f t="shared" si="9"/>
        <v>1</v>
      </c>
      <c r="AS10" s="74">
        <f t="shared" si="9"/>
        <v>1</v>
      </c>
      <c r="AT10" s="74">
        <f t="shared" si="9"/>
        <v>1</v>
      </c>
      <c r="AU10" s="74">
        <f t="shared" si="9"/>
        <v>1</v>
      </c>
      <c r="AV10" s="74">
        <f t="shared" si="9"/>
        <v>1</v>
      </c>
      <c r="AW10" s="74">
        <f t="shared" si="10"/>
        <v>2.25</v>
      </c>
      <c r="AX10" s="74">
        <f t="shared" si="10"/>
        <v>2.25</v>
      </c>
      <c r="AY10" s="74">
        <f t="shared" si="10"/>
        <v>2.25</v>
      </c>
      <c r="AZ10" s="74">
        <f t="shared" si="11"/>
        <v>2.25</v>
      </c>
      <c r="BA10" s="74">
        <f t="shared" si="11"/>
        <v>2.25</v>
      </c>
      <c r="BB10" s="74">
        <f t="shared" si="11"/>
        <v>2.25</v>
      </c>
      <c r="BC10" s="74">
        <f t="shared" si="12"/>
        <v>2.25</v>
      </c>
      <c r="BD10" s="74">
        <f t="shared" si="12"/>
        <v>2.25</v>
      </c>
      <c r="BE10" s="74">
        <f t="shared" si="12"/>
        <v>2.25</v>
      </c>
      <c r="BF10" s="74">
        <f t="shared" si="12"/>
        <v>2.25</v>
      </c>
      <c r="BG10" s="74">
        <f t="shared" si="12"/>
        <v>2.25</v>
      </c>
      <c r="BH10" s="74">
        <f t="shared" si="12"/>
        <v>2.25</v>
      </c>
      <c r="BI10" s="74">
        <f t="shared" si="6"/>
        <v>1</v>
      </c>
      <c r="BJ10" s="74">
        <f t="shared" si="6"/>
        <v>1</v>
      </c>
      <c r="BK10" s="74">
        <f t="shared" si="6"/>
        <v>1</v>
      </c>
      <c r="BL10" s="74">
        <f t="shared" si="6"/>
        <v>1</v>
      </c>
      <c r="BM10" s="74">
        <f t="shared" si="6"/>
        <v>1</v>
      </c>
      <c r="BN10" s="74">
        <f t="shared" si="6"/>
        <v>1</v>
      </c>
      <c r="BO10" s="74">
        <f t="shared" si="6"/>
        <v>1</v>
      </c>
      <c r="BP10" s="74">
        <f t="shared" si="6"/>
        <v>1</v>
      </c>
      <c r="BQ10" s="74">
        <f t="shared" si="6"/>
        <v>1</v>
      </c>
      <c r="BR10" s="74">
        <f t="shared" si="6"/>
        <v>1</v>
      </c>
      <c r="BS10" s="74">
        <f t="shared" si="6"/>
        <v>1</v>
      </c>
      <c r="BT10" s="74">
        <f t="shared" si="6"/>
        <v>1</v>
      </c>
      <c r="BU10" s="74">
        <f>SUM(tblSOW6[[#This Row],[P1]:[P12]])</f>
        <v>12</v>
      </c>
      <c r="BV10" s="74">
        <f xml:space="preserve"> IF(AND(ISNUMBER(SEARCH("-E000",tblSOW6[[#This Row],[Budget Item]])), ISERROR(VLOOKUP(tblSOW6[[#This Row],[Employee name ]],[28]Parameters!CP:DH,19,0))),VLOOKUP(tblSOW6[[#This Row],[Employee name ]],[28]Parameters!CP:DH,19,0),IFERROR(VLOOKUP(tblSOW6[[#This Row],[Employee name ]],[28]Parameters!CP:DH,19,0),0))</f>
        <v>0</v>
      </c>
      <c r="BW10" s="74">
        <f>IFERROR(VLOOKUP(K10,[28]Parameters!BN:BW,10,0),0)</f>
        <v>911.48299878618604</v>
      </c>
    </row>
    <row r="11" spans="1:154" s="75" customFormat="1" ht="18.75" customHeight="1">
      <c r="A11" s="67" t="str">
        <f>CONCATENATE(INDEX([28]Parameters!$U$1:$V$20,MATCH(C11,[28]Parameters!$V$1:$V$20,0),1),"/",VLOOKUP(D11,[28]Parameters!$CG$1:$CH$12,2,0),".",E11,".",H11,".",LEFT(J11,3),"-",LEFT(K11,4))</f>
        <v>B40/20.P279.406.950-T112</v>
      </c>
      <c r="B11" s="67" t="s">
        <v>111</v>
      </c>
      <c r="C11" s="67" t="s">
        <v>118</v>
      </c>
      <c r="D11" s="39" t="s">
        <v>95</v>
      </c>
      <c r="E11" s="40" t="str">
        <f>VLOOKUP(F11,[28]Parameters!P:T,4,0)</f>
        <v>P279</v>
      </c>
      <c r="F11" s="39" t="s">
        <v>119</v>
      </c>
      <c r="G11" s="67"/>
      <c r="H11" s="44">
        <f>INDEX([28]Parameters!$B:$C,MATCH(I11,[28]Parameters!$C:$C,0),1)</f>
        <v>406</v>
      </c>
      <c r="I11" s="68" t="s">
        <v>106</v>
      </c>
      <c r="J11" s="68" t="s">
        <v>94</v>
      </c>
      <c r="K11" s="68" t="s">
        <v>107</v>
      </c>
      <c r="L11" s="68"/>
      <c r="M11" s="69"/>
      <c r="N11" s="67"/>
      <c r="O11" s="67"/>
      <c r="P11" s="72">
        <v>44927</v>
      </c>
      <c r="Q11" s="72">
        <v>45291</v>
      </c>
      <c r="R11" s="68"/>
      <c r="S11" s="67">
        <f t="shared" si="0"/>
        <v>12</v>
      </c>
      <c r="T11" s="68"/>
      <c r="U11" s="68">
        <v>120</v>
      </c>
      <c r="V11" s="68"/>
      <c r="W11" s="68" t="str">
        <f>IF(AND(ISNUMBER(SEARCH("-T",tblSOW6[[#This Row],[Budget Item]])),NOT(ISNUMBER(tblSOW6[[#This Row],[Task Units]]))),"Please Enter Task Units",
IF(AND(ISNUMBER(SEARCH("-E000",tblSOW6[[#This Row],[Budget Item]])),NOT(ISNUMBER(tblSOW6[[#This Row],[% work on project]]))),"Please Enter Organic FTE",
IF(AND(ISNUMBER(SEARCH("-E999",tblSOW6[[#This Row],[Budget Item]])),NOT(ISNUMBER(tblSOW6[[#This Row],[External Expenses/Revenues USD]]))),"Please Enter External Expenses",
"")))</f>
        <v/>
      </c>
      <c r="X11" s="67">
        <f>SUM(tblSOW6[[#This Row],[Jan 2023 USD]:[Dec 2023 USD]])</f>
        <v>108715.17965015961</v>
      </c>
      <c r="Y11" s="74">
        <f>tblSOW6[[#This Row],[FTE Cost]]*tblSOW6[[#This Row],[% work on project]]*AK11/12+tblSOW6[[#This Row],[Task Cost]]*AW11+tblSOW6[[#This Row],[External Expenses/Revenues USD]]*BI11/tblSOW6[[#This Row],[Duration]]</f>
        <v>9059.59830417997</v>
      </c>
      <c r="Z11" s="74">
        <f>tblSOW6[[#This Row],[FTE Cost]]*tblSOW6[[#This Row],[% work on project]]*AL11/12+tblSOW6[[#This Row],[Task Cost]]*AX11+tblSOW6[[#This Row],[External Expenses/Revenues USD]]*BJ11/tblSOW6[[#This Row],[Duration]]</f>
        <v>9059.59830417997</v>
      </c>
      <c r="AA11" s="74">
        <f>tblSOW6[[#This Row],[FTE Cost]]*tblSOW6[[#This Row],[% work on project]]*AM11/12+tblSOW6[[#This Row],[Task Cost]]*AY11+tblSOW6[[#This Row],[External Expenses/Revenues USD]]*BK11/tblSOW6[[#This Row],[Duration]]</f>
        <v>9059.59830417997</v>
      </c>
      <c r="AB11" s="74">
        <f>tblSOW6[[#This Row],[FTE Cost]]*tblSOW6[[#This Row],[% work on project]]*AN11/12+tblSOW6[[#This Row],[Task Cost]]*AZ11+tblSOW6[[#This Row],[External Expenses/Revenues USD]]*BL11/tblSOW6[[#This Row],[Duration]]</f>
        <v>9059.59830417997</v>
      </c>
      <c r="AC11" s="74">
        <f>tblSOW6[[#This Row],[FTE Cost]]*tblSOW6[[#This Row],[% work on project]]*AO11/12+tblSOW6[[#This Row],[Task Cost]]*BA11+tblSOW6[[#This Row],[External Expenses/Revenues USD]]*BM11/tblSOW6[[#This Row],[Duration]]</f>
        <v>9059.59830417997</v>
      </c>
      <c r="AD11" s="74">
        <f>tblSOW6[[#This Row],[FTE Cost]]*tblSOW6[[#This Row],[% work on project]]*AP11/12+tblSOW6[[#This Row],[Task Cost]]*BB11+tblSOW6[[#This Row],[External Expenses/Revenues USD]]*BN11/tblSOW6[[#This Row],[Duration]]</f>
        <v>9059.59830417997</v>
      </c>
      <c r="AE11" s="74">
        <f>tblSOW6[[#This Row],[FTE Cost]]*tblSOW6[[#This Row],[% work on project]]*AQ11/12+tblSOW6[[#This Row],[Task Cost]]*BC11+tblSOW6[[#This Row],[External Expenses/Revenues USD]]*BO11/tblSOW6[[#This Row],[Duration]]</f>
        <v>9059.59830417997</v>
      </c>
      <c r="AF11" s="74">
        <f>tblSOW6[[#This Row],[FTE Cost]]*tblSOW6[[#This Row],[% work on project]]*AR11/12+tblSOW6[[#This Row],[Task Cost]]*BD11+tblSOW6[[#This Row],[External Expenses/Revenues USD]]*BP11/tblSOW6[[#This Row],[Duration]]</f>
        <v>9059.59830417997</v>
      </c>
      <c r="AG11" s="74">
        <f>tblSOW6[[#This Row],[FTE Cost]]*tblSOW6[[#This Row],[% work on project]]*AS11/12+tblSOW6[[#This Row],[Task Cost]]*BE11+tblSOW6[[#This Row],[External Expenses/Revenues USD]]*BQ11/tblSOW6[[#This Row],[Duration]]</f>
        <v>9059.59830417997</v>
      </c>
      <c r="AH11" s="74">
        <f>tblSOW6[[#This Row],[FTE Cost]]*tblSOW6[[#This Row],[% work on project]]*AT11/12+tblSOW6[[#This Row],[Task Cost]]*BF11+tblSOW6[[#This Row],[External Expenses/Revenues USD]]*BR11/tblSOW6[[#This Row],[Duration]]</f>
        <v>9059.59830417997</v>
      </c>
      <c r="AI11" s="74">
        <f>tblSOW6[[#This Row],[FTE Cost]]*tblSOW6[[#This Row],[% work on project]]*AU11/12+tblSOW6[[#This Row],[Task Cost]]*BG11+tblSOW6[[#This Row],[External Expenses/Revenues USD]]*BS11/tblSOW6[[#This Row],[Duration]]</f>
        <v>9059.59830417997</v>
      </c>
      <c r="AJ11" s="74">
        <f>tblSOW6[[#This Row],[FTE Cost]]*tblSOW6[[#This Row],[% work on project]]*AV11/12+tblSOW6[[#This Row],[Task Cost]]*BH11+tblSOW6[[#This Row],[External Expenses/Revenues USD]]*BT11/tblSOW6[[#This Row],[Duration]]</f>
        <v>9059.59830417997</v>
      </c>
      <c r="AK11" s="74">
        <f t="shared" si="7"/>
        <v>1</v>
      </c>
      <c r="AL11" s="74">
        <f t="shared" si="7"/>
        <v>1</v>
      </c>
      <c r="AM11" s="74">
        <f t="shared" si="7"/>
        <v>1</v>
      </c>
      <c r="AN11" s="74">
        <f t="shared" si="8"/>
        <v>1</v>
      </c>
      <c r="AO11" s="74">
        <f t="shared" si="8"/>
        <v>1</v>
      </c>
      <c r="AP11" s="74">
        <f t="shared" si="8"/>
        <v>1</v>
      </c>
      <c r="AQ11" s="74">
        <f t="shared" si="9"/>
        <v>1</v>
      </c>
      <c r="AR11" s="74">
        <f t="shared" si="9"/>
        <v>1</v>
      </c>
      <c r="AS11" s="74">
        <f t="shared" si="9"/>
        <v>1</v>
      </c>
      <c r="AT11" s="74">
        <f t="shared" si="9"/>
        <v>1</v>
      </c>
      <c r="AU11" s="74">
        <f t="shared" si="9"/>
        <v>1</v>
      </c>
      <c r="AV11" s="74">
        <f t="shared" si="9"/>
        <v>1</v>
      </c>
      <c r="AW11" s="74">
        <f t="shared" si="10"/>
        <v>10</v>
      </c>
      <c r="AX11" s="74">
        <f t="shared" si="10"/>
        <v>10</v>
      </c>
      <c r="AY11" s="74">
        <f t="shared" si="10"/>
        <v>10</v>
      </c>
      <c r="AZ11" s="74">
        <f t="shared" si="11"/>
        <v>10</v>
      </c>
      <c r="BA11" s="74">
        <f t="shared" si="11"/>
        <v>10</v>
      </c>
      <c r="BB11" s="74">
        <f t="shared" si="11"/>
        <v>10</v>
      </c>
      <c r="BC11" s="74">
        <f t="shared" si="12"/>
        <v>10</v>
      </c>
      <c r="BD11" s="74">
        <f t="shared" si="12"/>
        <v>10</v>
      </c>
      <c r="BE11" s="74">
        <f t="shared" si="12"/>
        <v>10</v>
      </c>
      <c r="BF11" s="74">
        <f t="shared" si="12"/>
        <v>10</v>
      </c>
      <c r="BG11" s="74">
        <f t="shared" si="12"/>
        <v>10</v>
      </c>
      <c r="BH11" s="74">
        <f t="shared" si="12"/>
        <v>10</v>
      </c>
      <c r="BI11" s="74">
        <f t="shared" si="6"/>
        <v>1</v>
      </c>
      <c r="BJ11" s="74">
        <f t="shared" si="6"/>
        <v>1</v>
      </c>
      <c r="BK11" s="74">
        <f t="shared" si="6"/>
        <v>1</v>
      </c>
      <c r="BL11" s="74">
        <f t="shared" si="6"/>
        <v>1</v>
      </c>
      <c r="BM11" s="74">
        <f t="shared" si="6"/>
        <v>1</v>
      </c>
      <c r="BN11" s="74">
        <f t="shared" si="6"/>
        <v>1</v>
      </c>
      <c r="BO11" s="74">
        <f t="shared" si="6"/>
        <v>1</v>
      </c>
      <c r="BP11" s="74">
        <f t="shared" si="6"/>
        <v>1</v>
      </c>
      <c r="BQ11" s="74">
        <f t="shared" si="6"/>
        <v>1</v>
      </c>
      <c r="BR11" s="74">
        <f t="shared" si="6"/>
        <v>1</v>
      </c>
      <c r="BS11" s="74">
        <f t="shared" si="6"/>
        <v>1</v>
      </c>
      <c r="BT11" s="74">
        <f t="shared" si="6"/>
        <v>1</v>
      </c>
      <c r="BU11" s="74">
        <f>SUM(tblSOW6[[#This Row],[P1]:[P12]])</f>
        <v>12</v>
      </c>
      <c r="BV11" s="74">
        <f xml:space="preserve"> IF(AND(ISNUMBER(SEARCH("-E000",tblSOW6[[#This Row],[Budget Item]])), ISERROR(VLOOKUP(tblSOW6[[#This Row],[Employee name ]],[28]Parameters!CP:DH,19,0))),VLOOKUP(tblSOW6[[#This Row],[Employee name ]],[28]Parameters!CP:DH,19,0),IFERROR(VLOOKUP(tblSOW6[[#This Row],[Employee name ]],[28]Parameters!CP:DH,19,0),0))</f>
        <v>0</v>
      </c>
      <c r="BW11" s="74">
        <f>IFERROR(VLOOKUP(K11,[28]Parameters!BN:BW,10,0),0)</f>
        <v>905.95983041799695</v>
      </c>
    </row>
    <row r="12" spans="1:154" s="75" customFormat="1" ht="18.75" customHeight="1">
      <c r="A12" s="67" t="str">
        <f>CONCATENATE(INDEX([28]Parameters!$U$1:$V$20,MATCH(C12,[28]Parameters!$V$1:$V$20,0),1),"/",VLOOKUP(D12,[28]Parameters!$CG$1:$CH$12,2,0),".",E12,".",H12,".",LEFT(J12,3),"-",LEFT(K12,4))</f>
        <v>B40/20.P279.405.950-T103</v>
      </c>
      <c r="B12" s="67" t="s">
        <v>111</v>
      </c>
      <c r="C12" s="67" t="s">
        <v>118</v>
      </c>
      <c r="D12" s="39" t="s">
        <v>95</v>
      </c>
      <c r="E12" s="40" t="str">
        <f>VLOOKUP(F12,[28]Parameters!P:T,4,0)</f>
        <v>P279</v>
      </c>
      <c r="F12" s="39" t="s">
        <v>119</v>
      </c>
      <c r="G12" s="67"/>
      <c r="H12" s="44">
        <f>INDEX([28]Parameters!$B:$C,MATCH(I12,[28]Parameters!$C:$C,0),1)</f>
        <v>405</v>
      </c>
      <c r="I12" s="68" t="s">
        <v>98</v>
      </c>
      <c r="J12" s="68" t="s">
        <v>94</v>
      </c>
      <c r="K12" s="68" t="s">
        <v>99</v>
      </c>
      <c r="L12" s="68"/>
      <c r="M12" s="69"/>
      <c r="N12" s="67"/>
      <c r="O12" s="67"/>
      <c r="P12" s="72">
        <v>44927</v>
      </c>
      <c r="Q12" s="72">
        <v>45291</v>
      </c>
      <c r="R12" s="68"/>
      <c r="S12" s="67">
        <f t="shared" si="0"/>
        <v>12</v>
      </c>
      <c r="T12" s="68"/>
      <c r="U12" s="68">
        <v>148</v>
      </c>
      <c r="V12" s="68"/>
      <c r="W12" s="68" t="str">
        <f>IF(AND(ISNUMBER(SEARCH("-T",tblSOW6[[#This Row],[Budget Item]])),NOT(ISNUMBER(tblSOW6[[#This Row],[Task Units]]))),"Please Enter Task Units",
IF(AND(ISNUMBER(SEARCH("-E000",tblSOW6[[#This Row],[Budget Item]])),NOT(ISNUMBER(tblSOW6[[#This Row],[% work on project]]))),"Please Enter Organic FTE",
IF(AND(ISNUMBER(SEARCH("-E999",tblSOW6[[#This Row],[Budget Item]])),NOT(ISNUMBER(tblSOW6[[#This Row],[External Expenses/Revenues USD]]))),"Please Enter External Expenses",
"")))</f>
        <v/>
      </c>
      <c r="X12" s="67">
        <f>SUM(tblSOW6[[#This Row],[Jan 2023 USD]:[Dec 2023 USD]])</f>
        <v>111212.05441145522</v>
      </c>
      <c r="Y12" s="74">
        <f>tblSOW6[[#This Row],[FTE Cost]]*tblSOW6[[#This Row],[% work on project]]*AK12/12+tblSOW6[[#This Row],[Task Cost]]*AW12+tblSOW6[[#This Row],[External Expenses/Revenues USD]]*BI12/tblSOW6[[#This Row],[Duration]]</f>
        <v>9267.671200954599</v>
      </c>
      <c r="Z12" s="74">
        <f>tblSOW6[[#This Row],[FTE Cost]]*tblSOW6[[#This Row],[% work on project]]*AL12/12+tblSOW6[[#This Row],[Task Cost]]*AX12+tblSOW6[[#This Row],[External Expenses/Revenues USD]]*BJ12/tblSOW6[[#This Row],[Duration]]</f>
        <v>9267.671200954599</v>
      </c>
      <c r="AA12" s="74">
        <f>tblSOW6[[#This Row],[FTE Cost]]*tblSOW6[[#This Row],[% work on project]]*AM12/12+tblSOW6[[#This Row],[Task Cost]]*AY12+tblSOW6[[#This Row],[External Expenses/Revenues USD]]*BK12/tblSOW6[[#This Row],[Duration]]</f>
        <v>9267.671200954599</v>
      </c>
      <c r="AB12" s="74">
        <f>tblSOW6[[#This Row],[FTE Cost]]*tblSOW6[[#This Row],[% work on project]]*AN12/12+tblSOW6[[#This Row],[Task Cost]]*AZ12+tblSOW6[[#This Row],[External Expenses/Revenues USD]]*BL12/tblSOW6[[#This Row],[Duration]]</f>
        <v>9267.671200954599</v>
      </c>
      <c r="AC12" s="74">
        <f>tblSOW6[[#This Row],[FTE Cost]]*tblSOW6[[#This Row],[% work on project]]*AO12/12+tblSOW6[[#This Row],[Task Cost]]*BA12+tblSOW6[[#This Row],[External Expenses/Revenues USD]]*BM12/tblSOW6[[#This Row],[Duration]]</f>
        <v>9267.671200954599</v>
      </c>
      <c r="AD12" s="74">
        <f>tblSOW6[[#This Row],[FTE Cost]]*tblSOW6[[#This Row],[% work on project]]*AP12/12+tblSOW6[[#This Row],[Task Cost]]*BB12+tblSOW6[[#This Row],[External Expenses/Revenues USD]]*BN12/tblSOW6[[#This Row],[Duration]]</f>
        <v>9267.671200954599</v>
      </c>
      <c r="AE12" s="74">
        <f>tblSOW6[[#This Row],[FTE Cost]]*tblSOW6[[#This Row],[% work on project]]*AQ12/12+tblSOW6[[#This Row],[Task Cost]]*BC12+tblSOW6[[#This Row],[External Expenses/Revenues USD]]*BO12/tblSOW6[[#This Row],[Duration]]</f>
        <v>9267.671200954599</v>
      </c>
      <c r="AF12" s="74">
        <f>tblSOW6[[#This Row],[FTE Cost]]*tblSOW6[[#This Row],[% work on project]]*AR12/12+tblSOW6[[#This Row],[Task Cost]]*BD12+tblSOW6[[#This Row],[External Expenses/Revenues USD]]*BP12/tblSOW6[[#This Row],[Duration]]</f>
        <v>9267.671200954599</v>
      </c>
      <c r="AG12" s="74">
        <f>tblSOW6[[#This Row],[FTE Cost]]*tblSOW6[[#This Row],[% work on project]]*AS12/12+tblSOW6[[#This Row],[Task Cost]]*BE12+tblSOW6[[#This Row],[External Expenses/Revenues USD]]*BQ12/tblSOW6[[#This Row],[Duration]]</f>
        <v>9267.671200954599</v>
      </c>
      <c r="AH12" s="74">
        <f>tblSOW6[[#This Row],[FTE Cost]]*tblSOW6[[#This Row],[% work on project]]*AT12/12+tblSOW6[[#This Row],[Task Cost]]*BF12+tblSOW6[[#This Row],[External Expenses/Revenues USD]]*BR12/tblSOW6[[#This Row],[Duration]]</f>
        <v>9267.671200954599</v>
      </c>
      <c r="AI12" s="74">
        <f>tblSOW6[[#This Row],[FTE Cost]]*tblSOW6[[#This Row],[% work on project]]*AU12/12+tblSOW6[[#This Row],[Task Cost]]*BG12+tblSOW6[[#This Row],[External Expenses/Revenues USD]]*BS12/tblSOW6[[#This Row],[Duration]]</f>
        <v>9267.671200954599</v>
      </c>
      <c r="AJ12" s="74">
        <f>tblSOW6[[#This Row],[FTE Cost]]*tblSOW6[[#This Row],[% work on project]]*AV12/12+tblSOW6[[#This Row],[Task Cost]]*BH12+tblSOW6[[#This Row],[External Expenses/Revenues USD]]*BT12/tblSOW6[[#This Row],[Duration]]</f>
        <v>9267.671200954599</v>
      </c>
      <c r="AK12" s="74">
        <f t="shared" si="7"/>
        <v>1</v>
      </c>
      <c r="AL12" s="74">
        <f t="shared" si="7"/>
        <v>1</v>
      </c>
      <c r="AM12" s="74">
        <f t="shared" si="7"/>
        <v>1</v>
      </c>
      <c r="AN12" s="74">
        <f t="shared" si="8"/>
        <v>1</v>
      </c>
      <c r="AO12" s="74">
        <f t="shared" si="8"/>
        <v>1</v>
      </c>
      <c r="AP12" s="74">
        <f t="shared" si="8"/>
        <v>1</v>
      </c>
      <c r="AQ12" s="74">
        <f t="shared" si="9"/>
        <v>1</v>
      </c>
      <c r="AR12" s="74">
        <f t="shared" si="9"/>
        <v>1</v>
      </c>
      <c r="AS12" s="74">
        <f t="shared" si="9"/>
        <v>1</v>
      </c>
      <c r="AT12" s="74">
        <f t="shared" si="9"/>
        <v>1</v>
      </c>
      <c r="AU12" s="74">
        <f t="shared" si="9"/>
        <v>1</v>
      </c>
      <c r="AV12" s="74">
        <f t="shared" si="9"/>
        <v>1</v>
      </c>
      <c r="AW12" s="74">
        <f t="shared" si="10"/>
        <v>12.333333333333334</v>
      </c>
      <c r="AX12" s="74">
        <f t="shared" si="10"/>
        <v>12.333333333333334</v>
      </c>
      <c r="AY12" s="74">
        <f t="shared" si="10"/>
        <v>12.333333333333334</v>
      </c>
      <c r="AZ12" s="74">
        <f t="shared" si="11"/>
        <v>12.333333333333334</v>
      </c>
      <c r="BA12" s="74">
        <f t="shared" si="11"/>
        <v>12.333333333333334</v>
      </c>
      <c r="BB12" s="74">
        <f t="shared" si="11"/>
        <v>12.333333333333334</v>
      </c>
      <c r="BC12" s="74">
        <f t="shared" si="12"/>
        <v>12.333333333333334</v>
      </c>
      <c r="BD12" s="74">
        <f t="shared" si="12"/>
        <v>12.333333333333334</v>
      </c>
      <c r="BE12" s="74">
        <f t="shared" si="12"/>
        <v>12.333333333333334</v>
      </c>
      <c r="BF12" s="74">
        <f t="shared" si="12"/>
        <v>12.333333333333334</v>
      </c>
      <c r="BG12" s="74">
        <f t="shared" si="12"/>
        <v>12.333333333333334</v>
      </c>
      <c r="BH12" s="74">
        <f t="shared" si="12"/>
        <v>12.333333333333334</v>
      </c>
      <c r="BI12" s="74">
        <f t="shared" si="6"/>
        <v>1</v>
      </c>
      <c r="BJ12" s="74">
        <f t="shared" si="6"/>
        <v>1</v>
      </c>
      <c r="BK12" s="74">
        <f t="shared" si="6"/>
        <v>1</v>
      </c>
      <c r="BL12" s="74">
        <f t="shared" si="6"/>
        <v>1</v>
      </c>
      <c r="BM12" s="74">
        <f t="shared" si="6"/>
        <v>1</v>
      </c>
      <c r="BN12" s="74">
        <f t="shared" si="6"/>
        <v>1</v>
      </c>
      <c r="BO12" s="74">
        <f t="shared" si="6"/>
        <v>1</v>
      </c>
      <c r="BP12" s="74">
        <f t="shared" si="6"/>
        <v>1</v>
      </c>
      <c r="BQ12" s="74">
        <f t="shared" si="6"/>
        <v>1</v>
      </c>
      <c r="BR12" s="74">
        <f t="shared" si="6"/>
        <v>1</v>
      </c>
      <c r="BS12" s="74">
        <f t="shared" si="6"/>
        <v>1</v>
      </c>
      <c r="BT12" s="74">
        <f t="shared" si="6"/>
        <v>1</v>
      </c>
      <c r="BU12" s="74">
        <f>SUM(tblSOW6[[#This Row],[P1]:[P12]])</f>
        <v>12</v>
      </c>
      <c r="BV12" s="74">
        <f xml:space="preserve"> IF(AND(ISNUMBER(SEARCH("-E000",tblSOW6[[#This Row],[Budget Item]])), ISERROR(VLOOKUP(tblSOW6[[#This Row],[Employee name ]],[28]Parameters!CP:DH,19,0))),VLOOKUP(tblSOW6[[#This Row],[Employee name ]],[28]Parameters!CP:DH,19,0),IFERROR(VLOOKUP(tblSOW6[[#This Row],[Employee name ]],[28]Parameters!CP:DH,19,0),0))</f>
        <v>0</v>
      </c>
      <c r="BW12" s="74">
        <f>IFERROR(VLOOKUP(K12,[28]Parameters!BN:BW,10,0),0)</f>
        <v>751.43280007739986</v>
      </c>
    </row>
    <row r="13" spans="1:154" s="75" customFormat="1" ht="18.75" customHeight="1">
      <c r="A13" s="67" t="str">
        <f>CONCATENATE(INDEX([28]Parameters!$U$1:$V$20,MATCH(C13,[28]Parameters!$V$1:$V$20,0),1),"/",VLOOKUP(D13,[28]Parameters!$CG$1:$CH$12,2,0),".",E13,".",H13,".",LEFT(J13,3),"-",LEFT(K13,4))</f>
        <v>B40/20.P279.420.950-T105</v>
      </c>
      <c r="B13" s="67" t="s">
        <v>111</v>
      </c>
      <c r="C13" s="67" t="s">
        <v>118</v>
      </c>
      <c r="D13" s="39" t="s">
        <v>95</v>
      </c>
      <c r="E13" s="40" t="str">
        <f>VLOOKUP(F13,[28]Parameters!P:T,4,0)</f>
        <v>P279</v>
      </c>
      <c r="F13" s="39" t="s">
        <v>119</v>
      </c>
      <c r="G13" s="67"/>
      <c r="H13" s="44">
        <f>INDEX([28]Parameters!$B:$C,MATCH(I13,[28]Parameters!$C:$C,0),1)</f>
        <v>420</v>
      </c>
      <c r="I13" s="68" t="s">
        <v>113</v>
      </c>
      <c r="J13" s="68" t="s">
        <v>94</v>
      </c>
      <c r="K13" s="68" t="s">
        <v>122</v>
      </c>
      <c r="L13" s="68"/>
      <c r="M13" s="69"/>
      <c r="N13" s="67"/>
      <c r="O13" s="67"/>
      <c r="P13" s="72">
        <v>44927</v>
      </c>
      <c r="Q13" s="72">
        <v>45291</v>
      </c>
      <c r="R13" s="68"/>
      <c r="S13" s="67">
        <f t="shared" si="0"/>
        <v>12</v>
      </c>
      <c r="T13" s="68"/>
      <c r="U13" s="68">
        <v>90</v>
      </c>
      <c r="V13" s="68"/>
      <c r="W13" s="68" t="str">
        <f>IF(AND(ISNUMBER(SEARCH("-T",tblSOW6[[#This Row],[Budget Item]])),NOT(ISNUMBER(tblSOW6[[#This Row],[Task Units]]))),"Please Enter Task Units",
IF(AND(ISNUMBER(SEARCH("-E000",tblSOW6[[#This Row],[Budget Item]])),NOT(ISNUMBER(tblSOW6[[#This Row],[% work on project]]))),"Please Enter Organic FTE",
IF(AND(ISNUMBER(SEARCH("-E999",tblSOW6[[#This Row],[Budget Item]])),NOT(ISNUMBER(tblSOW6[[#This Row],[External Expenses/Revenues USD]]))),"Please Enter External Expenses",
"")))</f>
        <v/>
      </c>
      <c r="X13" s="67">
        <f>SUM(tblSOW6[[#This Row],[Jan 2023 USD]:[Dec 2023 USD]])</f>
        <v>86082.700196073143</v>
      </c>
      <c r="Y13" s="74">
        <f>tblSOW6[[#This Row],[FTE Cost]]*tblSOW6[[#This Row],[% work on project]]*AK13/12+tblSOW6[[#This Row],[Task Cost]]*AW13+tblSOW6[[#This Row],[External Expenses/Revenues USD]]*BI13/tblSOW6[[#This Row],[Duration]]</f>
        <v>7173.5583496727595</v>
      </c>
      <c r="Z13" s="74">
        <f>tblSOW6[[#This Row],[FTE Cost]]*tblSOW6[[#This Row],[% work on project]]*AL13/12+tblSOW6[[#This Row],[Task Cost]]*AX13+tblSOW6[[#This Row],[External Expenses/Revenues USD]]*BJ13/tblSOW6[[#This Row],[Duration]]</f>
        <v>7173.5583496727595</v>
      </c>
      <c r="AA13" s="74">
        <f>tblSOW6[[#This Row],[FTE Cost]]*tblSOW6[[#This Row],[% work on project]]*AM13/12+tblSOW6[[#This Row],[Task Cost]]*AY13+tblSOW6[[#This Row],[External Expenses/Revenues USD]]*BK13/tblSOW6[[#This Row],[Duration]]</f>
        <v>7173.5583496727595</v>
      </c>
      <c r="AB13" s="74">
        <f>tblSOW6[[#This Row],[FTE Cost]]*tblSOW6[[#This Row],[% work on project]]*AN13/12+tblSOW6[[#This Row],[Task Cost]]*AZ13+tblSOW6[[#This Row],[External Expenses/Revenues USD]]*BL13/tblSOW6[[#This Row],[Duration]]</f>
        <v>7173.5583496727595</v>
      </c>
      <c r="AC13" s="74">
        <f>tblSOW6[[#This Row],[FTE Cost]]*tblSOW6[[#This Row],[% work on project]]*AO13/12+tblSOW6[[#This Row],[Task Cost]]*BA13+tblSOW6[[#This Row],[External Expenses/Revenues USD]]*BM13/tblSOW6[[#This Row],[Duration]]</f>
        <v>7173.5583496727595</v>
      </c>
      <c r="AD13" s="74">
        <f>tblSOW6[[#This Row],[FTE Cost]]*tblSOW6[[#This Row],[% work on project]]*AP13/12+tblSOW6[[#This Row],[Task Cost]]*BB13+tblSOW6[[#This Row],[External Expenses/Revenues USD]]*BN13/tblSOW6[[#This Row],[Duration]]</f>
        <v>7173.5583496727595</v>
      </c>
      <c r="AE13" s="74">
        <f>tblSOW6[[#This Row],[FTE Cost]]*tblSOW6[[#This Row],[% work on project]]*AQ13/12+tblSOW6[[#This Row],[Task Cost]]*BC13+tblSOW6[[#This Row],[External Expenses/Revenues USD]]*BO13/tblSOW6[[#This Row],[Duration]]</f>
        <v>7173.5583496727595</v>
      </c>
      <c r="AF13" s="74">
        <f>tblSOW6[[#This Row],[FTE Cost]]*tblSOW6[[#This Row],[% work on project]]*AR13/12+tblSOW6[[#This Row],[Task Cost]]*BD13+tblSOW6[[#This Row],[External Expenses/Revenues USD]]*BP13/tblSOW6[[#This Row],[Duration]]</f>
        <v>7173.5583496727595</v>
      </c>
      <c r="AG13" s="74">
        <f>tblSOW6[[#This Row],[FTE Cost]]*tblSOW6[[#This Row],[% work on project]]*AS13/12+tblSOW6[[#This Row],[Task Cost]]*BE13+tblSOW6[[#This Row],[External Expenses/Revenues USD]]*BQ13/tblSOW6[[#This Row],[Duration]]</f>
        <v>7173.5583496727595</v>
      </c>
      <c r="AH13" s="74">
        <f>tblSOW6[[#This Row],[FTE Cost]]*tblSOW6[[#This Row],[% work on project]]*AT13/12+tblSOW6[[#This Row],[Task Cost]]*BF13+tblSOW6[[#This Row],[External Expenses/Revenues USD]]*BR13/tblSOW6[[#This Row],[Duration]]</f>
        <v>7173.5583496727595</v>
      </c>
      <c r="AI13" s="74">
        <f>tblSOW6[[#This Row],[FTE Cost]]*tblSOW6[[#This Row],[% work on project]]*AU13/12+tblSOW6[[#This Row],[Task Cost]]*BG13+tblSOW6[[#This Row],[External Expenses/Revenues USD]]*BS13/tblSOW6[[#This Row],[Duration]]</f>
        <v>7173.5583496727595</v>
      </c>
      <c r="AJ13" s="74">
        <f>tblSOW6[[#This Row],[FTE Cost]]*tblSOW6[[#This Row],[% work on project]]*AV13/12+tblSOW6[[#This Row],[Task Cost]]*BH13+tblSOW6[[#This Row],[External Expenses/Revenues USD]]*BT13/tblSOW6[[#This Row],[Duration]]</f>
        <v>7173.5583496727595</v>
      </c>
      <c r="AK13" s="74">
        <f t="shared" si="7"/>
        <v>1</v>
      </c>
      <c r="AL13" s="74">
        <f t="shared" si="7"/>
        <v>1</v>
      </c>
      <c r="AM13" s="74">
        <f t="shared" si="7"/>
        <v>1</v>
      </c>
      <c r="AN13" s="74">
        <f t="shared" si="8"/>
        <v>1</v>
      </c>
      <c r="AO13" s="74">
        <f t="shared" si="8"/>
        <v>1</v>
      </c>
      <c r="AP13" s="74">
        <f t="shared" si="8"/>
        <v>1</v>
      </c>
      <c r="AQ13" s="74">
        <f t="shared" si="9"/>
        <v>1</v>
      </c>
      <c r="AR13" s="74">
        <f t="shared" si="9"/>
        <v>1</v>
      </c>
      <c r="AS13" s="74">
        <f t="shared" si="9"/>
        <v>1</v>
      </c>
      <c r="AT13" s="74">
        <f t="shared" si="9"/>
        <v>1</v>
      </c>
      <c r="AU13" s="74">
        <f t="shared" si="9"/>
        <v>1</v>
      </c>
      <c r="AV13" s="74">
        <f t="shared" si="9"/>
        <v>1</v>
      </c>
      <c r="AW13" s="74">
        <f t="shared" si="10"/>
        <v>7.5</v>
      </c>
      <c r="AX13" s="74">
        <f t="shared" si="10"/>
        <v>7.5</v>
      </c>
      <c r="AY13" s="74">
        <f t="shared" si="10"/>
        <v>7.5</v>
      </c>
      <c r="AZ13" s="74">
        <f t="shared" si="11"/>
        <v>7.5</v>
      </c>
      <c r="BA13" s="74">
        <f t="shared" si="11"/>
        <v>7.5</v>
      </c>
      <c r="BB13" s="74">
        <f t="shared" si="11"/>
        <v>7.5</v>
      </c>
      <c r="BC13" s="74">
        <f t="shared" si="12"/>
        <v>7.5</v>
      </c>
      <c r="BD13" s="74">
        <f t="shared" si="12"/>
        <v>7.5</v>
      </c>
      <c r="BE13" s="74">
        <f t="shared" si="12"/>
        <v>7.5</v>
      </c>
      <c r="BF13" s="74">
        <f t="shared" si="12"/>
        <v>7.5</v>
      </c>
      <c r="BG13" s="74">
        <f t="shared" si="12"/>
        <v>7.5</v>
      </c>
      <c r="BH13" s="74">
        <f t="shared" si="12"/>
        <v>7.5</v>
      </c>
      <c r="BI13" s="74">
        <f t="shared" si="6"/>
        <v>1</v>
      </c>
      <c r="BJ13" s="74">
        <f t="shared" si="6"/>
        <v>1</v>
      </c>
      <c r="BK13" s="74">
        <f t="shared" si="6"/>
        <v>1</v>
      </c>
      <c r="BL13" s="74">
        <f t="shared" si="6"/>
        <v>1</v>
      </c>
      <c r="BM13" s="74">
        <f t="shared" si="6"/>
        <v>1</v>
      </c>
      <c r="BN13" s="74">
        <f t="shared" si="6"/>
        <v>1</v>
      </c>
      <c r="BO13" s="74">
        <f t="shared" si="6"/>
        <v>1</v>
      </c>
      <c r="BP13" s="74">
        <f t="shared" si="6"/>
        <v>1</v>
      </c>
      <c r="BQ13" s="74">
        <f t="shared" si="6"/>
        <v>1</v>
      </c>
      <c r="BR13" s="74">
        <f t="shared" si="6"/>
        <v>1</v>
      </c>
      <c r="BS13" s="74">
        <f t="shared" si="6"/>
        <v>1</v>
      </c>
      <c r="BT13" s="74">
        <f t="shared" si="6"/>
        <v>1</v>
      </c>
      <c r="BU13" s="74">
        <f>SUM(tblSOW6[[#This Row],[P1]:[P12]])</f>
        <v>12</v>
      </c>
      <c r="BV13" s="74">
        <f xml:space="preserve"> IF(AND(ISNUMBER(SEARCH("-E000",tblSOW6[[#This Row],[Budget Item]])), ISERROR(VLOOKUP(tblSOW6[[#This Row],[Employee name ]],[28]Parameters!CP:DH,19,0))),VLOOKUP(tblSOW6[[#This Row],[Employee name ]],[28]Parameters!CP:DH,19,0),IFERROR(VLOOKUP(tblSOW6[[#This Row],[Employee name ]],[28]Parameters!CP:DH,19,0),0))</f>
        <v>0</v>
      </c>
      <c r="BW13" s="74">
        <f>IFERROR(VLOOKUP(K13,[28]Parameters!BN:BW,10,0),0)</f>
        <v>956.47444662303462</v>
      </c>
    </row>
  </sheetData>
  <dataConsolidate/>
  <mergeCells count="1">
    <mergeCell ref="T1:U1"/>
  </mergeCells>
  <conditionalFormatting sqref="BY1:BY2 CC14:CC1048576 BY4:BY13">
    <cfRule type="containsText" dxfId="12" priority="2" operator="containsText" text="False">
      <formula>NOT(ISERROR(SEARCH("False",BY1)))</formula>
    </cfRule>
  </conditionalFormatting>
  <conditionalFormatting sqref="BY3:BZ3">
    <cfRule type="containsText" dxfId="11" priority="1" operator="containsText" text="False">
      <formula>NOT(ISERROR(SEARCH("False",BY3)))</formula>
    </cfRule>
  </conditionalFormatting>
  <dataValidations count="1">
    <dataValidation type="list" allowBlank="1" showInputMessage="1" showErrorMessage="1" sqref="R4:R13" xr:uid="{D423817B-4E28-4716-840F-1026FA993291}">
      <formula1>#REF!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04164-9AE0-4330-95D4-F3FBADD81F32}">
  <sheetPr>
    <tabColor theme="5" tint="0.59999389629810485"/>
  </sheetPr>
  <dimension ref="A1:EX8"/>
  <sheetViews>
    <sheetView zoomScale="85" zoomScaleNormal="85" workbookViewId="0">
      <pane xSplit="1" ySplit="3" topLeftCell="B4" activePane="bottomRight" state="frozen"/>
      <selection activeCell="K27" sqref="K27"/>
      <selection pane="topRight" activeCell="K27" sqref="K27"/>
      <selection pane="bottomLeft" activeCell="K27" sqref="K27"/>
      <selection pane="bottomRight" activeCell="E29" sqref="E29"/>
    </sheetView>
  </sheetViews>
  <sheetFormatPr defaultColWidth="9" defaultRowHeight="14.4"/>
  <cols>
    <col min="1" max="1" width="24" style="5" customWidth="1"/>
    <col min="2" max="2" width="15" style="3" customWidth="1"/>
    <col min="3" max="3" width="15.33203125" style="3" bestFit="1" customWidth="1"/>
    <col min="4" max="4" width="13.33203125" style="4" bestFit="1" customWidth="1"/>
    <col min="5" max="5" width="20.6640625" style="4" bestFit="1" customWidth="1"/>
    <col min="6" max="6" width="15.44140625" style="4" bestFit="1" customWidth="1"/>
    <col min="7" max="7" width="14" style="4" hidden="1" customWidth="1"/>
    <col min="8" max="8" width="17.33203125" style="5" bestFit="1" customWidth="1"/>
    <col min="9" max="9" width="26.109375" style="3" customWidth="1"/>
    <col min="10" max="10" width="27.33203125" bestFit="1" customWidth="1"/>
    <col min="11" max="11" width="33" style="3" bestFit="1" customWidth="1"/>
    <col min="12" max="12" width="24.33203125" customWidth="1"/>
    <col min="13" max="13" width="21.33203125" style="94" customWidth="1"/>
    <col min="14" max="14" width="19.6640625" customWidth="1"/>
    <col min="15" max="15" width="20.109375" style="7" customWidth="1"/>
    <col min="16" max="16" width="16.88671875" style="8" customWidth="1"/>
    <col min="17" max="17" width="19.6640625" style="8" customWidth="1"/>
    <col min="18" max="18" width="30.88671875" customWidth="1"/>
    <col min="19" max="20" width="9" customWidth="1"/>
    <col min="21" max="21" width="12" style="3" customWidth="1"/>
    <col min="22" max="22" width="22.109375" style="3" customWidth="1"/>
    <col min="23" max="23" width="31.109375" style="3" customWidth="1"/>
    <col min="24" max="24" width="18.33203125" style="3" bestFit="1" customWidth="1"/>
    <col min="25" max="25" width="13.33203125" style="3" customWidth="1"/>
    <col min="26" max="26" width="13.44140625" style="3" customWidth="1"/>
    <col min="27" max="27" width="14.88671875" style="3" customWidth="1"/>
    <col min="28" max="28" width="14.33203125" style="5" customWidth="1"/>
    <col min="29" max="29" width="14.88671875" style="3" customWidth="1"/>
    <col min="30" max="31" width="15.109375" style="3" customWidth="1"/>
    <col min="32" max="32" width="14.44140625" style="3" customWidth="1"/>
    <col min="33" max="33" width="15.109375" style="3" customWidth="1"/>
    <col min="34" max="34" width="15" style="3" customWidth="1"/>
    <col min="35" max="35" width="14.33203125" style="3" customWidth="1"/>
    <col min="36" max="37" width="15.109375" style="3" customWidth="1"/>
    <col min="38" max="38" width="14.88671875" style="3" customWidth="1"/>
    <col min="39" max="39" width="15.33203125" style="3" customWidth="1"/>
    <col min="40" max="40" width="15.109375" style="3" customWidth="1"/>
    <col min="41" max="41" width="14.33203125" style="3" customWidth="1"/>
    <col min="42" max="43" width="14.44140625" style="3" customWidth="1"/>
    <col min="44" max="44" width="14.33203125" style="3" customWidth="1"/>
    <col min="45" max="45" width="14.88671875" style="3" customWidth="1"/>
    <col min="46" max="46" width="14.44140625" style="3" customWidth="1"/>
    <col min="47" max="47" width="14" style="3" customWidth="1"/>
    <col min="48" max="48" width="14.44140625" style="3" customWidth="1"/>
    <col min="49" max="49" width="14.88671875" style="3" customWidth="1"/>
    <col min="50" max="50" width="14.33203125" style="3" customWidth="1"/>
    <col min="51" max="51" width="15" style="3" customWidth="1"/>
    <col min="52" max="52" width="14.88671875" style="3" customWidth="1"/>
    <col min="53" max="53" width="15.33203125" style="3" customWidth="1"/>
    <col min="54" max="55" width="15.44140625" style="3" customWidth="1"/>
    <col min="56" max="56" width="15.33203125" style="3" customWidth="1"/>
    <col min="57" max="57" width="15.88671875" style="3" customWidth="1"/>
    <col min="58" max="58" width="15.44140625" style="3" customWidth="1"/>
    <col min="59" max="59" width="15" style="3" customWidth="1"/>
    <col min="60" max="60" width="15.44140625" style="3" customWidth="1"/>
    <col min="61" max="61" width="15.88671875" style="3" customWidth="1"/>
    <col min="62" max="62" width="15.33203125" style="3" customWidth="1"/>
    <col min="63" max="63" width="16" style="3" customWidth="1"/>
    <col min="64" max="64" width="15.88671875" style="3" customWidth="1"/>
    <col min="65" max="73" width="9.109375" style="3" customWidth="1"/>
    <col min="74" max="74" width="12.33203125" style="3" customWidth="1"/>
    <col min="75" max="75" width="13.88671875" style="3" customWidth="1"/>
    <col min="76" max="77" width="9.109375" style="3" customWidth="1"/>
    <col min="78" max="78" width="11" style="3" customWidth="1"/>
    <col min="79" max="79" width="11.44140625" style="3" customWidth="1"/>
    <col min="80" max="80" width="2.88671875" style="4" customWidth="1"/>
    <col min="81" max="81" width="32.109375" style="4" bestFit="1" customWidth="1"/>
    <col min="82" max="82" width="22.109375" style="4" bestFit="1" customWidth="1"/>
    <col min="83" max="83" width="11.33203125" style="4" bestFit="1" customWidth="1"/>
    <col min="84" max="84" width="10.109375" style="4" bestFit="1" customWidth="1"/>
    <col min="85" max="85" width="9.88671875" style="4" bestFit="1" customWidth="1"/>
    <col min="86" max="16384" width="9" style="4"/>
  </cols>
  <sheetData>
    <row r="1" spans="1:154" ht="15" thickBot="1">
      <c r="A1" s="1" t="s">
        <v>0</v>
      </c>
      <c r="B1" s="2">
        <f>AVERAGE([24]Parameters!AH2:AS2)</f>
        <v>3.399999999999999</v>
      </c>
      <c r="G1"/>
      <c r="J1" s="3"/>
      <c r="M1" s="92"/>
      <c r="R1" s="3"/>
      <c r="S1" s="9"/>
      <c r="T1" s="77"/>
      <c r="U1" s="77"/>
      <c r="V1" s="11"/>
      <c r="W1" s="11"/>
      <c r="X1" s="78">
        <f>SUM(tblSOW5[Budget total cost])</f>
        <v>0</v>
      </c>
      <c r="AB1" s="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3">
        <v>1</v>
      </c>
      <c r="BJ1" s="3">
        <v>2</v>
      </c>
      <c r="BK1" s="3">
        <v>3</v>
      </c>
      <c r="BL1" s="3">
        <v>4</v>
      </c>
      <c r="BM1" s="3">
        <v>5</v>
      </c>
      <c r="BN1" s="3">
        <v>6</v>
      </c>
      <c r="BO1" s="3">
        <v>7</v>
      </c>
      <c r="BP1" s="3">
        <v>8</v>
      </c>
      <c r="BQ1" s="3">
        <v>9</v>
      </c>
      <c r="BR1" s="3">
        <v>10</v>
      </c>
      <c r="BS1" s="3">
        <v>11</v>
      </c>
      <c r="BT1" s="3">
        <v>12</v>
      </c>
      <c r="BX1" s="4"/>
      <c r="BY1" s="14"/>
      <c r="BZ1" s="4">
        <f>SUM(CD4:CD1048576)</f>
        <v>0</v>
      </c>
      <c r="CA1" s="4"/>
    </row>
    <row r="2" spans="1:154" s="18" customFormat="1" ht="29.4" thickBot="1">
      <c r="A2" s="15" t="s">
        <v>1</v>
      </c>
      <c r="B2" s="15" t="s">
        <v>2</v>
      </c>
      <c r="C2" s="15" t="s">
        <v>2</v>
      </c>
      <c r="D2" s="15" t="s">
        <v>2</v>
      </c>
      <c r="E2" s="15" t="s">
        <v>3</v>
      </c>
      <c r="F2" s="15" t="s">
        <v>4</v>
      </c>
      <c r="G2" s="16" t="s">
        <v>5</v>
      </c>
      <c r="H2" s="15" t="s">
        <v>1</v>
      </c>
      <c r="I2" s="15" t="s">
        <v>6</v>
      </c>
      <c r="J2" s="15" t="s">
        <v>7</v>
      </c>
      <c r="K2" s="17" t="s">
        <v>8</v>
      </c>
      <c r="L2" s="15" t="s">
        <v>1</v>
      </c>
      <c r="P2" s="19"/>
      <c r="Q2" s="19"/>
      <c r="R2" s="20" t="s">
        <v>9</v>
      </c>
      <c r="S2" s="15" t="s">
        <v>1</v>
      </c>
      <c r="V2" s="21"/>
      <c r="W2" s="21"/>
      <c r="X2" s="79" t="s">
        <v>10</v>
      </c>
      <c r="Y2" s="23" t="s">
        <v>11</v>
      </c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5"/>
      <c r="AK2" s="23" t="s">
        <v>12</v>
      </c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5"/>
      <c r="AW2" s="23" t="s">
        <v>13</v>
      </c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5"/>
      <c r="BI2" s="23" t="s">
        <v>14</v>
      </c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5"/>
    </row>
    <row r="3" spans="1:154" s="38" customFormat="1" ht="43.2">
      <c r="A3" s="26" t="s">
        <v>15</v>
      </c>
      <c r="B3" s="26" t="s">
        <v>16</v>
      </c>
      <c r="C3" s="26" t="s">
        <v>17</v>
      </c>
      <c r="D3" s="27" t="s">
        <v>18</v>
      </c>
      <c r="E3" s="27" t="s">
        <v>19</v>
      </c>
      <c r="F3" s="27" t="s">
        <v>20</v>
      </c>
      <c r="G3" s="27" t="s">
        <v>21</v>
      </c>
      <c r="H3" s="26" t="s">
        <v>22</v>
      </c>
      <c r="I3" s="26" t="s">
        <v>23</v>
      </c>
      <c r="J3" s="26" t="s">
        <v>24</v>
      </c>
      <c r="K3" s="26" t="s">
        <v>25</v>
      </c>
      <c r="L3" s="28" t="s">
        <v>26</v>
      </c>
      <c r="M3" s="86" t="s">
        <v>27</v>
      </c>
      <c r="N3" s="30" t="s">
        <v>28</v>
      </c>
      <c r="O3" s="31" t="s">
        <v>29</v>
      </c>
      <c r="P3" s="32" t="s">
        <v>30</v>
      </c>
      <c r="Q3" s="32" t="s">
        <v>31</v>
      </c>
      <c r="R3" s="26" t="s">
        <v>32</v>
      </c>
      <c r="S3" s="26" t="s">
        <v>33</v>
      </c>
      <c r="T3" s="33" t="s">
        <v>34</v>
      </c>
      <c r="U3" s="34" t="s">
        <v>35</v>
      </c>
      <c r="V3" s="34" t="s">
        <v>36</v>
      </c>
      <c r="W3" s="34" t="s">
        <v>37</v>
      </c>
      <c r="X3" s="34" t="s">
        <v>38</v>
      </c>
      <c r="Y3" s="33" t="s">
        <v>39</v>
      </c>
      <c r="Z3" s="33" t="s">
        <v>40</v>
      </c>
      <c r="AA3" s="33" t="s">
        <v>41</v>
      </c>
      <c r="AB3" s="33" t="s">
        <v>42</v>
      </c>
      <c r="AC3" s="33" t="s">
        <v>43</v>
      </c>
      <c r="AD3" s="33" t="s">
        <v>44</v>
      </c>
      <c r="AE3" s="33" t="s">
        <v>45</v>
      </c>
      <c r="AF3" s="33" t="s">
        <v>46</v>
      </c>
      <c r="AG3" s="33" t="s">
        <v>47</v>
      </c>
      <c r="AH3" s="33" t="s">
        <v>48</v>
      </c>
      <c r="AI3" s="33" t="s">
        <v>49</v>
      </c>
      <c r="AJ3" s="33" t="s">
        <v>50</v>
      </c>
      <c r="AK3" s="33" t="s">
        <v>51</v>
      </c>
      <c r="AL3" s="33" t="s">
        <v>52</v>
      </c>
      <c r="AM3" s="33" t="s">
        <v>53</v>
      </c>
      <c r="AN3" s="33" t="s">
        <v>54</v>
      </c>
      <c r="AO3" s="33" t="s">
        <v>55</v>
      </c>
      <c r="AP3" s="33" t="s">
        <v>56</v>
      </c>
      <c r="AQ3" s="33" t="s">
        <v>57</v>
      </c>
      <c r="AR3" s="33" t="s">
        <v>58</v>
      </c>
      <c r="AS3" s="33" t="s">
        <v>59</v>
      </c>
      <c r="AT3" s="33" t="s">
        <v>60</v>
      </c>
      <c r="AU3" s="33" t="s">
        <v>61</v>
      </c>
      <c r="AV3" s="33" t="s">
        <v>62</v>
      </c>
      <c r="AW3" s="33" t="s">
        <v>63</v>
      </c>
      <c r="AX3" s="33" t="s">
        <v>64</v>
      </c>
      <c r="AY3" s="33" t="s">
        <v>65</v>
      </c>
      <c r="AZ3" s="33" t="s">
        <v>66</v>
      </c>
      <c r="BA3" s="33" t="s">
        <v>67</v>
      </c>
      <c r="BB3" s="33" t="s">
        <v>68</v>
      </c>
      <c r="BC3" s="33" t="s">
        <v>69</v>
      </c>
      <c r="BD3" s="33" t="s">
        <v>70</v>
      </c>
      <c r="BE3" s="33" t="s">
        <v>71</v>
      </c>
      <c r="BF3" s="33" t="s">
        <v>72</v>
      </c>
      <c r="BG3" s="33" t="s">
        <v>73</v>
      </c>
      <c r="BH3" s="33" t="s">
        <v>74</v>
      </c>
      <c r="BI3" s="33" t="s">
        <v>75</v>
      </c>
      <c r="BJ3" s="33" t="s">
        <v>76</v>
      </c>
      <c r="BK3" s="33" t="s">
        <v>77</v>
      </c>
      <c r="BL3" s="33" t="s">
        <v>78</v>
      </c>
      <c r="BM3" s="33" t="s">
        <v>79</v>
      </c>
      <c r="BN3" s="33" t="s">
        <v>80</v>
      </c>
      <c r="BO3" s="33" t="s">
        <v>81</v>
      </c>
      <c r="BP3" s="33" t="s">
        <v>82</v>
      </c>
      <c r="BQ3" s="33" t="s">
        <v>83</v>
      </c>
      <c r="BR3" s="33" t="s">
        <v>84</v>
      </c>
      <c r="BS3" s="33" t="s">
        <v>85</v>
      </c>
      <c r="BT3" s="33" t="s">
        <v>86</v>
      </c>
      <c r="BU3" s="33" t="s">
        <v>87</v>
      </c>
      <c r="BV3" s="33" t="s">
        <v>88</v>
      </c>
      <c r="BW3" s="33" t="s">
        <v>89</v>
      </c>
      <c r="BX3" s="36"/>
      <c r="BY3" s="37"/>
      <c r="BZ3" s="4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6"/>
      <c r="CQ3" s="36"/>
      <c r="CR3" s="36"/>
      <c r="CS3" s="36"/>
      <c r="CT3" s="36"/>
      <c r="CU3" s="36"/>
      <c r="CV3" s="36"/>
      <c r="CW3" s="36"/>
      <c r="CX3" s="36"/>
      <c r="CY3" s="36"/>
      <c r="CZ3" s="36"/>
      <c r="DA3" s="36"/>
      <c r="DB3" s="36"/>
      <c r="DC3" s="36"/>
      <c r="DD3" s="36"/>
      <c r="DE3" s="36"/>
      <c r="DF3" s="36"/>
      <c r="DG3" s="36"/>
      <c r="DH3" s="36"/>
      <c r="DI3" s="36"/>
      <c r="DJ3" s="36"/>
      <c r="DK3" s="36"/>
      <c r="DL3" s="36"/>
      <c r="DM3" s="36"/>
      <c r="DN3" s="36"/>
      <c r="DO3" s="36"/>
      <c r="DP3" s="36"/>
      <c r="DQ3" s="36"/>
      <c r="DR3" s="36"/>
      <c r="DS3" s="36"/>
      <c r="DT3" s="36"/>
      <c r="DU3" s="36"/>
      <c r="DV3" s="36"/>
      <c r="DW3" s="36"/>
      <c r="DX3" s="36"/>
      <c r="DY3" s="36"/>
      <c r="DZ3" s="36"/>
      <c r="EA3" s="36"/>
      <c r="EB3" s="36"/>
      <c r="EC3" s="36"/>
      <c r="ED3" s="36"/>
      <c r="EE3" s="36"/>
      <c r="EF3" s="36"/>
      <c r="EG3" s="36"/>
      <c r="EH3" s="36"/>
      <c r="EI3" s="36"/>
      <c r="EJ3" s="36"/>
      <c r="EK3" s="36"/>
      <c r="EL3" s="36"/>
      <c r="EM3" s="36"/>
      <c r="EN3" s="36"/>
      <c r="EO3" s="36"/>
      <c r="EP3" s="36"/>
      <c r="EQ3" s="36"/>
      <c r="ER3" s="36"/>
      <c r="ES3" s="36"/>
      <c r="ET3" s="36"/>
      <c r="EU3" s="36"/>
      <c r="EV3" s="36"/>
      <c r="EW3" s="36"/>
      <c r="EX3" s="36"/>
    </row>
    <row r="4" spans="1:154" s="36" customFormat="1" ht="18.75" customHeight="1">
      <c r="A4" s="5"/>
      <c r="B4" s="5"/>
      <c r="C4" s="5"/>
      <c r="D4" s="39"/>
      <c r="E4" s="40"/>
      <c r="F4" s="39"/>
      <c r="G4" s="5"/>
      <c r="H4" s="5"/>
      <c r="I4" s="3"/>
      <c r="J4" s="3"/>
      <c r="K4" s="3"/>
      <c r="L4" s="3"/>
      <c r="M4" s="93"/>
      <c r="N4" s="5"/>
      <c r="O4" s="42"/>
      <c r="P4" s="8"/>
      <c r="Q4" s="8"/>
      <c r="R4" s="3"/>
      <c r="S4" s="5"/>
      <c r="T4" s="3"/>
      <c r="U4" s="3"/>
      <c r="V4" s="3"/>
      <c r="W4" s="3"/>
      <c r="X4" s="5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</row>
    <row r="5" spans="1:154" s="3" customFormat="1">
      <c r="A5" s="5"/>
      <c r="C5"/>
      <c r="E5"/>
      <c r="F5" s="63"/>
      <c r="G5"/>
      <c r="H5" s="7"/>
      <c r="I5" s="8"/>
      <c r="J5" s="8"/>
      <c r="K5"/>
      <c r="L5"/>
      <c r="M5" s="94"/>
      <c r="U5" s="5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</row>
    <row r="6" spans="1:154" s="3" customFormat="1">
      <c r="A6" s="5"/>
      <c r="C6"/>
      <c r="E6"/>
      <c r="F6" s="63"/>
      <c r="G6"/>
      <c r="H6" s="7"/>
      <c r="I6" s="8"/>
      <c r="J6" s="8"/>
      <c r="K6"/>
      <c r="L6"/>
      <c r="M6" s="94"/>
      <c r="U6" s="5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</row>
    <row r="7" spans="1:154" s="3" customFormat="1">
      <c r="A7" s="5"/>
      <c r="C7"/>
      <c r="E7"/>
      <c r="F7" s="63"/>
      <c r="G7"/>
      <c r="H7" s="7"/>
      <c r="I7" s="8"/>
      <c r="J7" s="8"/>
      <c r="K7"/>
      <c r="L7"/>
      <c r="M7" s="94"/>
      <c r="U7" s="5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</row>
    <row r="8" spans="1:154" s="3" customFormat="1">
      <c r="A8" s="5"/>
      <c r="C8"/>
      <c r="E8"/>
      <c r="F8" s="63"/>
      <c r="G8"/>
      <c r="H8" s="7"/>
      <c r="I8" s="8"/>
      <c r="J8" s="8"/>
      <c r="K8"/>
      <c r="L8"/>
      <c r="M8" s="94"/>
      <c r="U8" s="5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</row>
  </sheetData>
  <dataConsolidate/>
  <conditionalFormatting sqref="BY1:BY2 BY4 CC5:CC1048576">
    <cfRule type="containsText" dxfId="10" priority="2" operator="containsText" text="False">
      <formula>NOT(ISERROR(SEARCH("False",BY1)))</formula>
    </cfRule>
  </conditionalFormatting>
  <conditionalFormatting sqref="BY3:BZ3">
    <cfRule type="containsText" dxfId="9" priority="1" operator="containsText" text="False">
      <formula>NOT(ISERROR(SEARCH("False",BY3)))</formula>
    </cfRule>
  </conditionalFormatting>
  <dataValidations count="1">
    <dataValidation type="list" allowBlank="1" showInputMessage="1" showErrorMessage="1" sqref="R4" xr:uid="{F66A1C5D-5224-4F22-BCD5-16D588BF208B}">
      <formula1>#REF!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DF024-7825-462A-B424-7E6C8E08A36F}">
  <sheetPr>
    <tabColor theme="5" tint="0.59999389629810485"/>
    <pageSetUpPr fitToPage="1"/>
  </sheetPr>
  <dimension ref="A1:XET8"/>
  <sheetViews>
    <sheetView topLeftCell="E1" workbookViewId="0">
      <selection activeCell="H26" sqref="H26"/>
    </sheetView>
  </sheetViews>
  <sheetFormatPr defaultColWidth="9" defaultRowHeight="14.4"/>
  <cols>
    <col min="1" max="1" width="25.5546875" style="5" bestFit="1" customWidth="1"/>
    <col min="2" max="2" width="15" style="3" customWidth="1"/>
    <col min="3" max="3" width="15.33203125" style="3" customWidth="1"/>
    <col min="4" max="4" width="16.33203125" style="4" bestFit="1" customWidth="1"/>
    <col min="5" max="5" width="20.6640625" style="4" customWidth="1"/>
    <col min="6" max="6" width="29.44140625" style="4" customWidth="1"/>
    <col min="7" max="7" width="33.109375" style="4" customWidth="1"/>
    <col min="8" max="8" width="17.33203125" style="5" customWidth="1"/>
    <col min="9" max="9" width="26.109375" style="3" customWidth="1"/>
    <col min="10" max="10" width="27.44140625" customWidth="1"/>
    <col min="11" max="11" width="33" style="3" customWidth="1"/>
    <col min="12" max="12" width="23.5546875" hidden="1" customWidth="1"/>
    <col min="13" max="13" width="18.44140625" hidden="1" customWidth="1"/>
    <col min="14" max="14" width="23.6640625" hidden="1" customWidth="1"/>
    <col min="15" max="15" width="24.44140625" style="85" hidden="1" customWidth="1"/>
    <col min="16" max="16" width="16.88671875" style="8" hidden="1" customWidth="1"/>
    <col min="17" max="17" width="19.6640625" style="8" hidden="1" customWidth="1"/>
    <col min="18" max="18" width="15" hidden="1" customWidth="1"/>
    <col min="19" max="20" width="9" hidden="1" customWidth="1"/>
    <col min="21" max="21" width="12" style="3" hidden="1" customWidth="1"/>
    <col min="22" max="22" width="22.109375" style="3" hidden="1" customWidth="1"/>
    <col min="23" max="23" width="31.109375" style="3" hidden="1" customWidth="1"/>
    <col min="24" max="24" width="18.33203125" style="3" customWidth="1"/>
    <col min="25" max="25" width="13.33203125" style="3" customWidth="1"/>
    <col min="26" max="26" width="13.5546875" style="3" customWidth="1"/>
    <col min="27" max="27" width="14.88671875" style="3" customWidth="1"/>
    <col min="28" max="28" width="14.44140625" style="5" customWidth="1"/>
    <col min="29" max="29" width="14.88671875" style="3" customWidth="1"/>
    <col min="30" max="31" width="15.109375" style="3" customWidth="1"/>
    <col min="32" max="32" width="14.5546875" style="3" customWidth="1"/>
    <col min="33" max="33" width="15.109375" style="3" customWidth="1"/>
    <col min="34" max="34" width="15" style="3" customWidth="1"/>
    <col min="35" max="35" width="14.44140625" style="3" customWidth="1"/>
    <col min="36" max="37" width="15.109375" style="3" customWidth="1"/>
    <col min="38" max="38" width="14.88671875" style="3" customWidth="1"/>
    <col min="39" max="39" width="15.44140625" style="3" customWidth="1"/>
    <col min="40" max="40" width="15.109375" style="3" customWidth="1"/>
    <col min="41" max="41" width="14.44140625" style="3" customWidth="1"/>
    <col min="42" max="43" width="14.5546875" style="3" customWidth="1"/>
    <col min="44" max="44" width="14.44140625" style="3" customWidth="1"/>
    <col min="45" max="45" width="14.88671875" style="3" customWidth="1"/>
    <col min="46" max="46" width="14.5546875" style="3" customWidth="1"/>
    <col min="47" max="47" width="14" style="3" customWidth="1"/>
    <col min="48" max="48" width="14.5546875" style="3" customWidth="1"/>
    <col min="49" max="49" width="14.88671875" style="3" customWidth="1"/>
    <col min="50" max="50" width="14.44140625" style="3" customWidth="1"/>
    <col min="51" max="51" width="15" style="3" customWidth="1"/>
    <col min="52" max="52" width="14.88671875" style="3" customWidth="1"/>
    <col min="53" max="53" width="15.44140625" style="3" customWidth="1"/>
    <col min="54" max="55" width="15.5546875" style="3" customWidth="1"/>
    <col min="56" max="56" width="15.44140625" style="3" customWidth="1"/>
    <col min="57" max="57" width="15.88671875" style="3" customWidth="1"/>
    <col min="58" max="58" width="15.5546875" style="3" customWidth="1"/>
    <col min="59" max="59" width="15" style="3" customWidth="1"/>
    <col min="60" max="60" width="15.5546875" style="3" customWidth="1"/>
    <col min="61" max="61" width="15.88671875" style="3" customWidth="1"/>
    <col min="62" max="62" width="15.44140625" style="3" customWidth="1"/>
    <col min="63" max="63" width="16" style="3" customWidth="1"/>
    <col min="64" max="64" width="15.88671875" style="3" customWidth="1"/>
    <col min="65" max="73" width="9.109375" style="3" customWidth="1"/>
    <col min="74" max="74" width="12.44140625" style="3" customWidth="1"/>
    <col min="75" max="75" width="13.88671875" style="3" customWidth="1"/>
    <col min="76" max="77" width="9.109375" style="3" customWidth="1"/>
    <col min="78" max="78" width="11" style="3" customWidth="1"/>
    <col min="79" max="79" width="11.5546875" style="3" customWidth="1"/>
    <col min="80" max="80" width="2.88671875" style="4" customWidth="1"/>
    <col min="81" max="81" width="32.109375" style="4" bestFit="1" customWidth="1"/>
    <col min="82" max="82" width="22.109375" style="4" bestFit="1" customWidth="1"/>
    <col min="83" max="83" width="11.44140625" style="4" bestFit="1" customWidth="1"/>
    <col min="84" max="84" width="10.109375" style="4" bestFit="1" customWidth="1"/>
    <col min="85" max="85" width="9.88671875" style="4" bestFit="1" customWidth="1"/>
    <col min="86" max="16384" width="9" style="4"/>
  </cols>
  <sheetData>
    <row r="1" spans="1:999 1051:3024 3076:4074 4126:6099 6151:7149 7201:9174 9226:10224 10276:12249 12301:13299 13351:15324 15376:16374" ht="15" thickBot="1">
      <c r="A1" s="1" t="s">
        <v>0</v>
      </c>
      <c r="B1" s="2">
        <f>AVERAGE([21]Parameters!AH2:AS2)</f>
        <v>3.399999999999999</v>
      </c>
      <c r="G1"/>
      <c r="J1" s="3"/>
      <c r="M1" s="8"/>
      <c r="R1" s="3"/>
      <c r="S1" s="9"/>
      <c r="T1" s="77"/>
      <c r="U1" s="77">
        <f>X4/U4</f>
        <v>854.45565710605911</v>
      </c>
      <c r="V1" s="11"/>
      <c r="W1" s="11"/>
      <c r="X1" s="78">
        <f>SUM(tblSOW4[Budget total cost])</f>
        <v>28197.036684499952</v>
      </c>
      <c r="Y1" s="78">
        <f>SUM(tblSOW4[Jan 2023 USD])</f>
        <v>2349.7530570416629</v>
      </c>
      <c r="Z1" s="78">
        <f>SUM(tblSOW4[Feb 2023 USD])</f>
        <v>2349.7530570416629</v>
      </c>
      <c r="AA1" s="78">
        <f>SUM(tblSOW4[Mar 2023 USD])</f>
        <v>2349.7530570416629</v>
      </c>
      <c r="AB1" s="78">
        <f>SUM(tblSOW4[Apr 2023 USD])</f>
        <v>2349.7530570416629</v>
      </c>
      <c r="AC1" s="78">
        <f>SUM(tblSOW4[Jan 2023 USD])</f>
        <v>2349.7530570416629</v>
      </c>
      <c r="AD1" s="78">
        <f>SUM(tblSOW4[Feb 2023 USD])</f>
        <v>2349.7530570416629</v>
      </c>
      <c r="AE1" s="78">
        <f>SUM(tblSOW4[Mar 2023 USD])</f>
        <v>2349.7530570416629</v>
      </c>
      <c r="AF1" s="78">
        <f>SUM(tblSOW4[Apr 2023 USD])</f>
        <v>2349.7530570416629</v>
      </c>
      <c r="AG1" s="78">
        <f>SUM(tblSOW4[May 2023 USD])</f>
        <v>2349.7530570416629</v>
      </c>
      <c r="AH1" s="78">
        <f>SUM(tblSOW4[Feb 2023 USD])</f>
        <v>2349.7530570416629</v>
      </c>
      <c r="AI1" s="78">
        <f>SUM(tblSOW4[Mar 2023 USD])</f>
        <v>2349.7530570416629</v>
      </c>
      <c r="AJ1" s="78">
        <f>SUM(tblSOW4[Apr 2023 USD])</f>
        <v>2349.7530570416629</v>
      </c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3">
        <v>1</v>
      </c>
      <c r="BJ1" s="3">
        <v>2</v>
      </c>
      <c r="BK1" s="3">
        <v>3</v>
      </c>
      <c r="BL1" s="3">
        <v>4</v>
      </c>
      <c r="BM1" s="3">
        <v>5</v>
      </c>
      <c r="BN1" s="3">
        <v>6</v>
      </c>
      <c r="BO1" s="3">
        <v>7</v>
      </c>
      <c r="BP1" s="3">
        <v>8</v>
      </c>
      <c r="BQ1" s="3">
        <v>9</v>
      </c>
      <c r="BR1" s="3">
        <v>10</v>
      </c>
      <c r="BS1" s="3">
        <v>11</v>
      </c>
      <c r="BT1" s="3">
        <v>12</v>
      </c>
      <c r="BX1" s="4"/>
      <c r="BY1" s="14"/>
      <c r="BZ1" s="4">
        <f>SUM(CD4:CD1048576)</f>
        <v>0</v>
      </c>
      <c r="CA1" s="4"/>
    </row>
    <row r="2" spans="1:999 1051:3024 3076:4074 4126:6099 6151:7149 7201:9174 9226:10224 10276:12249 12301:13299 13351:15324 15376:16374" s="18" customFormat="1" ht="29.4" thickBot="1">
      <c r="A2" s="15" t="s">
        <v>1</v>
      </c>
      <c r="B2" s="15" t="s">
        <v>2</v>
      </c>
      <c r="C2" s="15" t="s">
        <v>2</v>
      </c>
      <c r="D2" s="15" t="s">
        <v>2</v>
      </c>
      <c r="E2" s="15" t="s">
        <v>3</v>
      </c>
      <c r="F2" s="15" t="s">
        <v>4</v>
      </c>
      <c r="G2" s="16"/>
      <c r="H2" s="15" t="s">
        <v>1</v>
      </c>
      <c r="I2" s="15" t="s">
        <v>6</v>
      </c>
      <c r="J2" s="15" t="s">
        <v>7</v>
      </c>
      <c r="K2" s="17" t="s">
        <v>8</v>
      </c>
      <c r="L2" s="15" t="s">
        <v>1</v>
      </c>
      <c r="O2" s="79"/>
      <c r="P2" s="19"/>
      <c r="Q2" s="19"/>
      <c r="R2" s="20" t="s">
        <v>9</v>
      </c>
      <c r="S2" s="15" t="s">
        <v>1</v>
      </c>
      <c r="V2" s="21"/>
      <c r="W2" s="21"/>
      <c r="X2" s="79" t="s">
        <v>10</v>
      </c>
      <c r="Y2" s="23" t="s">
        <v>11</v>
      </c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5"/>
      <c r="AK2" s="23" t="s">
        <v>12</v>
      </c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5"/>
      <c r="AW2" s="23" t="s">
        <v>13</v>
      </c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5"/>
      <c r="BI2" s="23" t="s">
        <v>14</v>
      </c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5"/>
    </row>
    <row r="3" spans="1:999 1051:3024 3076:4074 4126:6099 6151:7149 7201:9174 9226:10224 10276:12249 12301:13299 13351:15324 15376:16374" s="38" customFormat="1" ht="43.2">
      <c r="A3" s="26" t="s">
        <v>15</v>
      </c>
      <c r="B3" s="26" t="s">
        <v>16</v>
      </c>
      <c r="C3" s="26" t="s">
        <v>17</v>
      </c>
      <c r="D3" s="27" t="s">
        <v>18</v>
      </c>
      <c r="E3" s="27" t="s">
        <v>19</v>
      </c>
      <c r="F3" s="27" t="s">
        <v>20</v>
      </c>
      <c r="G3" s="27" t="s">
        <v>21</v>
      </c>
      <c r="H3" s="26" t="s">
        <v>22</v>
      </c>
      <c r="I3" s="26" t="s">
        <v>23</v>
      </c>
      <c r="J3" s="26" t="s">
        <v>24</v>
      </c>
      <c r="K3" s="26" t="s">
        <v>25</v>
      </c>
      <c r="L3" s="28" t="s">
        <v>26</v>
      </c>
      <c r="M3" s="86" t="s">
        <v>27</v>
      </c>
      <c r="N3" s="30" t="s">
        <v>28</v>
      </c>
      <c r="O3" s="87" t="s">
        <v>29</v>
      </c>
      <c r="P3" s="32" t="s">
        <v>30</v>
      </c>
      <c r="Q3" s="32" t="s">
        <v>31</v>
      </c>
      <c r="R3" s="26" t="s">
        <v>32</v>
      </c>
      <c r="S3" s="26" t="s">
        <v>33</v>
      </c>
      <c r="T3" s="33" t="s">
        <v>34</v>
      </c>
      <c r="U3" s="34" t="s">
        <v>35</v>
      </c>
      <c r="V3" s="34" t="s">
        <v>36</v>
      </c>
      <c r="W3" s="34" t="s">
        <v>37</v>
      </c>
      <c r="X3" s="34" t="s">
        <v>38</v>
      </c>
      <c r="Y3" s="33" t="s">
        <v>39</v>
      </c>
      <c r="Z3" s="33" t="s">
        <v>40</v>
      </c>
      <c r="AA3" s="33" t="s">
        <v>41</v>
      </c>
      <c r="AB3" s="33" t="s">
        <v>42</v>
      </c>
      <c r="AC3" s="33" t="s">
        <v>43</v>
      </c>
      <c r="AD3" s="33" t="s">
        <v>44</v>
      </c>
      <c r="AE3" s="33" t="s">
        <v>45</v>
      </c>
      <c r="AF3" s="33" t="s">
        <v>46</v>
      </c>
      <c r="AG3" s="33" t="s">
        <v>47</v>
      </c>
      <c r="AH3" s="33" t="s">
        <v>48</v>
      </c>
      <c r="AI3" s="33" t="s">
        <v>49</v>
      </c>
      <c r="AJ3" s="33" t="s">
        <v>50</v>
      </c>
      <c r="AK3" s="33" t="s">
        <v>51</v>
      </c>
      <c r="AL3" s="33" t="s">
        <v>52</v>
      </c>
      <c r="AM3" s="33" t="s">
        <v>53</v>
      </c>
      <c r="AN3" s="33" t="s">
        <v>54</v>
      </c>
      <c r="AO3" s="33" t="s">
        <v>55</v>
      </c>
      <c r="AP3" s="33" t="s">
        <v>56</v>
      </c>
      <c r="AQ3" s="33" t="s">
        <v>57</v>
      </c>
      <c r="AR3" s="33" t="s">
        <v>58</v>
      </c>
      <c r="AS3" s="33" t="s">
        <v>59</v>
      </c>
      <c r="AT3" s="33" t="s">
        <v>60</v>
      </c>
      <c r="AU3" s="33" t="s">
        <v>61</v>
      </c>
      <c r="AV3" s="33" t="s">
        <v>62</v>
      </c>
      <c r="AW3" s="33" t="s">
        <v>63</v>
      </c>
      <c r="AX3" s="33" t="s">
        <v>64</v>
      </c>
      <c r="AY3" s="33" t="s">
        <v>65</v>
      </c>
      <c r="AZ3" s="33" t="s">
        <v>66</v>
      </c>
      <c r="BA3" s="33" t="s">
        <v>67</v>
      </c>
      <c r="BB3" s="33" t="s">
        <v>68</v>
      </c>
      <c r="BC3" s="33" t="s">
        <v>69</v>
      </c>
      <c r="BD3" s="33" t="s">
        <v>70</v>
      </c>
      <c r="BE3" s="33" t="s">
        <v>71</v>
      </c>
      <c r="BF3" s="33" t="s">
        <v>72</v>
      </c>
      <c r="BG3" s="33" t="s">
        <v>73</v>
      </c>
      <c r="BH3" s="33" t="s">
        <v>74</v>
      </c>
      <c r="BI3" s="33" t="s">
        <v>75</v>
      </c>
      <c r="BJ3" s="33" t="s">
        <v>76</v>
      </c>
      <c r="BK3" s="33" t="s">
        <v>77</v>
      </c>
      <c r="BL3" s="33" t="s">
        <v>78</v>
      </c>
      <c r="BM3" s="33" t="s">
        <v>79</v>
      </c>
      <c r="BN3" s="33" t="s">
        <v>80</v>
      </c>
      <c r="BO3" s="33" t="s">
        <v>81</v>
      </c>
      <c r="BP3" s="33" t="s">
        <v>82</v>
      </c>
      <c r="BQ3" s="33" t="s">
        <v>83</v>
      </c>
      <c r="BR3" s="33" t="s">
        <v>84</v>
      </c>
      <c r="BS3" s="33" t="s">
        <v>85</v>
      </c>
      <c r="BT3" s="33" t="s">
        <v>86</v>
      </c>
      <c r="BU3" s="33" t="s">
        <v>87</v>
      </c>
      <c r="BV3" s="33" t="s">
        <v>88</v>
      </c>
      <c r="BW3" s="33" t="s">
        <v>89</v>
      </c>
      <c r="BX3" s="36"/>
      <c r="BY3" s="37"/>
      <c r="BZ3" s="4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6"/>
      <c r="CQ3" s="36"/>
      <c r="CR3" s="36"/>
      <c r="CS3" s="36"/>
      <c r="CT3" s="36"/>
      <c r="CU3" s="36"/>
      <c r="CV3" s="36"/>
      <c r="CW3" s="36"/>
      <c r="CX3" s="36"/>
      <c r="CY3" s="36"/>
      <c r="CZ3" s="36"/>
      <c r="DA3" s="36"/>
      <c r="DB3" s="36"/>
      <c r="DC3" s="36"/>
      <c r="DD3" s="36"/>
      <c r="DE3" s="36"/>
      <c r="DF3" s="36"/>
      <c r="DG3" s="36"/>
      <c r="DH3" s="36"/>
      <c r="DI3" s="36"/>
      <c r="DJ3" s="36"/>
      <c r="DK3" s="36"/>
      <c r="DL3" s="36"/>
      <c r="DM3" s="36"/>
      <c r="DN3" s="36"/>
      <c r="DO3" s="36"/>
      <c r="DP3" s="36"/>
      <c r="DQ3" s="36"/>
      <c r="DR3" s="36"/>
      <c r="DS3" s="36"/>
      <c r="DT3" s="36"/>
      <c r="DU3" s="36"/>
      <c r="DV3" s="36"/>
      <c r="DW3" s="36"/>
      <c r="DX3" s="36"/>
      <c r="DY3" s="36"/>
      <c r="DZ3" s="36"/>
      <c r="EA3" s="36"/>
      <c r="EB3" s="36"/>
      <c r="EC3" s="36"/>
      <c r="ED3" s="36"/>
      <c r="EE3" s="36"/>
      <c r="EF3" s="36"/>
      <c r="EG3" s="36"/>
      <c r="EH3" s="36"/>
      <c r="EI3" s="36"/>
      <c r="EJ3" s="36"/>
      <c r="EK3" s="36"/>
      <c r="EL3" s="36"/>
      <c r="EM3" s="36"/>
      <c r="EN3" s="36"/>
      <c r="EO3" s="36"/>
      <c r="EP3" s="36"/>
      <c r="EQ3" s="36"/>
      <c r="ER3" s="36"/>
      <c r="ES3" s="36"/>
      <c r="ET3" s="36"/>
      <c r="EU3" s="36"/>
      <c r="EV3" s="36"/>
      <c r="EW3" s="36"/>
      <c r="EX3" s="36"/>
    </row>
    <row r="4" spans="1:999 1051:3024 3076:4074 4126:6099 6151:7149 7201:9174 9226:10224 10276:12249 12301:13299 13351:15324 15376:16374" s="74" customFormat="1">
      <c r="A4" s="67" t="str">
        <f>CONCATENATE(INDEX([21]Parameters!$U$1:$V$20,MATCH(C4,[21]Parameters!$V$1:$V$20,0),1),"/",VLOOKUP(D4,[21]Parameters!$CG$1:$CH$12,2,0),".",E4,".",H4,".",LEFT(J4,3),"-",LEFT(K4,4))</f>
        <v>B74/20.P213.405.951-T103</v>
      </c>
      <c r="B4" s="67" t="s">
        <v>114</v>
      </c>
      <c r="C4" s="67" t="s">
        <v>114</v>
      </c>
      <c r="D4" s="39" t="s">
        <v>95</v>
      </c>
      <c r="E4" s="40" t="str">
        <f>VLOOKUP(F4,[21]Parameters!P:T,4,0)</f>
        <v>P213</v>
      </c>
      <c r="F4" s="39" t="s">
        <v>115</v>
      </c>
      <c r="G4" s="67"/>
      <c r="H4" s="67">
        <f>INDEX([21]Parameters!$B:$C,MATCH(I4,[21]Parameters!$C:$C,0),1)</f>
        <v>405</v>
      </c>
      <c r="I4" s="68" t="s">
        <v>98</v>
      </c>
      <c r="J4" s="68" t="s">
        <v>93</v>
      </c>
      <c r="K4" s="68" t="s">
        <v>99</v>
      </c>
      <c r="L4" s="68"/>
      <c r="M4" s="91"/>
      <c r="N4" s="67" t="s">
        <v>116</v>
      </c>
      <c r="O4" s="67"/>
      <c r="P4" s="72">
        <v>44927</v>
      </c>
      <c r="Q4" s="72">
        <v>45291</v>
      </c>
      <c r="R4" s="67"/>
      <c r="S4" s="67">
        <f t="shared" ref="S4:S5" si="0">IF(OR(P4="",Q4=""),0,MONTH(Q4)-MONTH(P4)+1)</f>
        <v>12</v>
      </c>
      <c r="T4" s="68"/>
      <c r="U4" s="68">
        <v>22</v>
      </c>
      <c r="V4" s="68">
        <f>19633.1*0</f>
        <v>0</v>
      </c>
      <c r="W4" s="68" t="str">
        <f>IF(AND(ISNUMBER(SEARCH("-T",tblSOW4[[#This Row],[Budget Item]])),NOT(ISNUMBER(tblSOW4[[#This Row],[Task Units]]))),"Please Enter Task Units",
IF(AND(ISNUMBER(SEARCH("-E000",tblSOW4[[#This Row],[Budget Item]])),NOT(ISNUMBER(tblSOW4[[#This Row],[% work on project]]))),"Please Enter Organic FTE",
IF(AND(ISNUMBER(SEARCH("-E999",tblSOW4[[#This Row],[Budget Item]])),NOT(ISNUMBER(tblSOW4[[#This Row],[External Expenses/Revenues USD]]))),"Please Enter External Expenses",
"")))</f>
        <v/>
      </c>
      <c r="X4" s="67">
        <f>SUM(tblSOW4[[#This Row],[Jan 2023 USD]:[Dec 2023 USD]])</f>
        <v>18798.0244563333</v>
      </c>
      <c r="Y4" s="74">
        <f>tblSOW4[[#This Row],[FTE Cost]]*tblSOW4[[#This Row],[% work on project]]*AK4/12+tblSOW4[[#This Row],[Task Cost]]*AW4+tblSOW4[[#This Row],[External Expenses/Revenues USD]]*BI4/tblSOW4[[#This Row],[Duration]]</f>
        <v>1566.5020380277751</v>
      </c>
      <c r="Z4" s="74">
        <f>tblSOW4[[#This Row],[FTE Cost]]*tblSOW4[[#This Row],[% work on project]]*AL4/12+tblSOW4[[#This Row],[Task Cost]]*AX4+tblSOW4[[#This Row],[External Expenses/Revenues USD]]*BJ4/tblSOW4[[#This Row],[Duration]]</f>
        <v>1566.5020380277751</v>
      </c>
      <c r="AA4" s="74">
        <f>tblSOW4[[#This Row],[FTE Cost]]*tblSOW4[[#This Row],[% work on project]]*AM4/12+tblSOW4[[#This Row],[Task Cost]]*AY4+tblSOW4[[#This Row],[External Expenses/Revenues USD]]*BK4/tblSOW4[[#This Row],[Duration]]</f>
        <v>1566.5020380277751</v>
      </c>
      <c r="AB4" s="74">
        <f>tblSOW4[[#This Row],[FTE Cost]]*tblSOW4[[#This Row],[% work on project]]*AN4/12+tblSOW4[[#This Row],[Task Cost]]*AZ4+tblSOW4[[#This Row],[External Expenses/Revenues USD]]*BL4/tblSOW4[[#This Row],[Duration]]</f>
        <v>1566.5020380277751</v>
      </c>
      <c r="AC4" s="74">
        <f>tblSOW4[[#This Row],[FTE Cost]]*tblSOW4[[#This Row],[% work on project]]*AO4/12+tblSOW4[[#This Row],[Task Cost]]*BA4+tblSOW4[[#This Row],[External Expenses/Revenues USD]]*BM4/tblSOW4[[#This Row],[Duration]]</f>
        <v>1566.5020380277751</v>
      </c>
      <c r="AD4" s="74">
        <f>tblSOW4[[#This Row],[FTE Cost]]*tblSOW4[[#This Row],[% work on project]]*AP4/12+tblSOW4[[#This Row],[Task Cost]]*BB4+tblSOW4[[#This Row],[External Expenses/Revenues USD]]*BN4/tblSOW4[[#This Row],[Duration]]</f>
        <v>1566.5020380277751</v>
      </c>
      <c r="AE4" s="74">
        <f>tblSOW4[[#This Row],[FTE Cost]]*tblSOW4[[#This Row],[% work on project]]*AQ4/12+tblSOW4[[#This Row],[Task Cost]]*BC4+tblSOW4[[#This Row],[External Expenses/Revenues USD]]*BO4/tblSOW4[[#This Row],[Duration]]</f>
        <v>1566.5020380277751</v>
      </c>
      <c r="AF4" s="74">
        <f>tblSOW4[[#This Row],[FTE Cost]]*tblSOW4[[#This Row],[% work on project]]*AR4/12+tblSOW4[[#This Row],[Task Cost]]*BD4+tblSOW4[[#This Row],[External Expenses/Revenues USD]]*BP4/tblSOW4[[#This Row],[Duration]]</f>
        <v>1566.5020380277751</v>
      </c>
      <c r="AG4" s="74">
        <f>tblSOW4[[#This Row],[FTE Cost]]*tblSOW4[[#This Row],[% work on project]]*AS4/12+tblSOW4[[#This Row],[Task Cost]]*BE4+tblSOW4[[#This Row],[External Expenses/Revenues USD]]*BQ4/tblSOW4[[#This Row],[Duration]]</f>
        <v>1566.5020380277751</v>
      </c>
      <c r="AH4" s="74">
        <f>tblSOW4[[#This Row],[FTE Cost]]*tblSOW4[[#This Row],[% work on project]]*AT4/12+tblSOW4[[#This Row],[Task Cost]]*BF4+tblSOW4[[#This Row],[External Expenses/Revenues USD]]*BR4/tblSOW4[[#This Row],[Duration]]</f>
        <v>1566.5020380277751</v>
      </c>
      <c r="AI4" s="74">
        <f>tblSOW4[[#This Row],[FTE Cost]]*tblSOW4[[#This Row],[% work on project]]*AU4/12+tblSOW4[[#This Row],[Task Cost]]*BG4+tblSOW4[[#This Row],[External Expenses/Revenues USD]]*BS4/tblSOW4[[#This Row],[Duration]]</f>
        <v>1566.5020380277751</v>
      </c>
      <c r="AJ4" s="74">
        <f>tblSOW4[[#This Row],[FTE Cost]]*tblSOW4[[#This Row],[% work on project]]*AV4/12+tblSOW4[[#This Row],[Task Cost]]*BH4+tblSOW4[[#This Row],[External Expenses/Revenues USD]]*BT4/tblSOW4[[#This Row],[Duration]]</f>
        <v>1566.5020380277751</v>
      </c>
      <c r="AK4" s="74">
        <f t="shared" ref="AK4:AP5" si="1">$S4/$BU4*BI4</f>
        <v>1</v>
      </c>
      <c r="AL4" s="74">
        <f t="shared" si="1"/>
        <v>1</v>
      </c>
      <c r="AM4" s="74">
        <f t="shared" si="1"/>
        <v>1</v>
      </c>
      <c r="AN4" s="74">
        <f t="shared" ref="AN4:AV4" si="2">$S4/$BU4*BL4</f>
        <v>1</v>
      </c>
      <c r="AO4" s="74">
        <f t="shared" si="2"/>
        <v>1</v>
      </c>
      <c r="AP4" s="74">
        <f t="shared" si="2"/>
        <v>1</v>
      </c>
      <c r="AQ4" s="74">
        <f t="shared" si="2"/>
        <v>1</v>
      </c>
      <c r="AR4" s="74">
        <f t="shared" si="2"/>
        <v>1</v>
      </c>
      <c r="AS4" s="74">
        <f t="shared" si="2"/>
        <v>1</v>
      </c>
      <c r="AT4" s="74">
        <f t="shared" si="2"/>
        <v>1</v>
      </c>
      <c r="AU4" s="74">
        <f t="shared" si="2"/>
        <v>1</v>
      </c>
      <c r="AV4" s="74">
        <f t="shared" si="2"/>
        <v>1</v>
      </c>
      <c r="AW4" s="74">
        <f t="shared" ref="AW4:BB5" si="3">$U4/$BU4*BI4</f>
        <v>1.8333333333333333</v>
      </c>
      <c r="AX4" s="74">
        <f t="shared" si="3"/>
        <v>1.8333333333333333</v>
      </c>
      <c r="AY4" s="74">
        <f t="shared" si="3"/>
        <v>1.8333333333333333</v>
      </c>
      <c r="AZ4" s="74">
        <f t="shared" ref="AZ4:BH4" si="4">$U4/$BU4*BL4</f>
        <v>1.8333333333333333</v>
      </c>
      <c r="BA4" s="74">
        <f t="shared" si="4"/>
        <v>1.8333333333333333</v>
      </c>
      <c r="BB4" s="74">
        <f t="shared" si="4"/>
        <v>1.8333333333333333</v>
      </c>
      <c r="BC4" s="74">
        <f t="shared" si="4"/>
        <v>1.8333333333333333</v>
      </c>
      <c r="BD4" s="74">
        <f t="shared" si="4"/>
        <v>1.8333333333333333</v>
      </c>
      <c r="BE4" s="74">
        <f t="shared" si="4"/>
        <v>1.8333333333333333</v>
      </c>
      <c r="BF4" s="74">
        <f t="shared" si="4"/>
        <v>1.8333333333333333</v>
      </c>
      <c r="BG4" s="74">
        <f t="shared" si="4"/>
        <v>1.8333333333333333</v>
      </c>
      <c r="BH4" s="74">
        <f t="shared" si="4"/>
        <v>1.8333333333333333</v>
      </c>
      <c r="BI4" s="74">
        <f t="shared" ref="BI4:BT5" si="5">IF($S4&gt;0,IF(AND(MONTH($P4)&lt;=BI$1,MONTH($Q4)&gt;=BI$1),1,0),0)</f>
        <v>1</v>
      </c>
      <c r="BJ4" s="74">
        <f t="shared" si="5"/>
        <v>1</v>
      </c>
      <c r="BK4" s="74">
        <f t="shared" si="5"/>
        <v>1</v>
      </c>
      <c r="BL4" s="74">
        <f t="shared" si="5"/>
        <v>1</v>
      </c>
      <c r="BM4" s="74">
        <f t="shared" si="5"/>
        <v>1</v>
      </c>
      <c r="BN4" s="74">
        <f t="shared" si="5"/>
        <v>1</v>
      </c>
      <c r="BO4" s="74">
        <f t="shared" si="5"/>
        <v>1</v>
      </c>
      <c r="BP4" s="74">
        <f t="shared" si="5"/>
        <v>1</v>
      </c>
      <c r="BQ4" s="74">
        <f t="shared" si="5"/>
        <v>1</v>
      </c>
      <c r="BR4" s="74">
        <f t="shared" si="5"/>
        <v>1</v>
      </c>
      <c r="BS4" s="74">
        <f t="shared" si="5"/>
        <v>1</v>
      </c>
      <c r="BT4" s="74">
        <f t="shared" si="5"/>
        <v>1</v>
      </c>
      <c r="BU4" s="74">
        <f>SUM(tblSOW4[[#This Row],[P1]:[P12]])</f>
        <v>12</v>
      </c>
      <c r="BV4" s="74">
        <f xml:space="preserve"> IF(AND(ISNUMBER(SEARCH("-E000",tblSOW4[[#This Row],[Budget Item]])), ISERROR(VLOOKUP(tblSOW4[[#This Row],[Employee name ]],[21]Parameters!CP:DH,19,0))),VLOOKUP(tblSOW4[[#This Row],[Employee name ]],[21]Parameters!CP:DH,19,0),IFERROR(VLOOKUP(tblSOW4[[#This Row],[Employee name ]],[21]Parameters!CP:DH,19,0),0))</f>
        <v>0</v>
      </c>
      <c r="BW4" s="74">
        <f>IFERROR(VLOOKUP(K4,[21]Parameters!BN:BW,10,0),0)</f>
        <v>854.45565710605922</v>
      </c>
      <c r="BX4" s="67"/>
      <c r="BY4" s="67"/>
      <c r="BZ4" s="67"/>
      <c r="CA4" s="39"/>
      <c r="CB4" s="40"/>
      <c r="CC4" s="39"/>
      <c r="CD4" s="67"/>
      <c r="CE4" s="67"/>
      <c r="CF4" s="68"/>
      <c r="CG4" s="68"/>
      <c r="CH4" s="68"/>
      <c r="CI4" s="68"/>
      <c r="CJ4" s="91"/>
      <c r="CK4" s="67"/>
      <c r="CL4" s="76"/>
      <c r="CM4" s="72"/>
      <c r="CN4" s="72"/>
      <c r="CO4" s="67"/>
      <c r="CP4" s="67"/>
      <c r="CQ4" s="68"/>
      <c r="CR4" s="68"/>
      <c r="CS4" s="68"/>
      <c r="CT4" s="68"/>
      <c r="CU4" s="67"/>
      <c r="EU4" s="67"/>
      <c r="EV4" s="67"/>
      <c r="EW4" s="67"/>
      <c r="EX4" s="39"/>
      <c r="EY4" s="40"/>
      <c r="EZ4" s="39"/>
      <c r="FA4" s="67"/>
      <c r="FB4" s="67"/>
      <c r="FC4" s="68"/>
      <c r="FD4" s="68"/>
      <c r="FE4" s="68"/>
      <c r="FF4" s="68"/>
      <c r="FG4" s="91"/>
      <c r="FH4" s="67"/>
      <c r="FI4" s="76"/>
      <c r="FJ4" s="72"/>
      <c r="FK4" s="72"/>
      <c r="FL4" s="67"/>
      <c r="FM4" s="67"/>
      <c r="FN4" s="68"/>
      <c r="FO4" s="68"/>
      <c r="FP4" s="68"/>
      <c r="FQ4" s="68"/>
      <c r="FR4" s="67"/>
      <c r="HR4" s="67"/>
      <c r="HS4" s="67"/>
      <c r="HT4" s="67"/>
      <c r="HU4" s="39"/>
      <c r="HV4" s="40"/>
      <c r="HW4" s="39"/>
      <c r="HX4" s="67"/>
      <c r="HY4" s="67"/>
      <c r="HZ4" s="68"/>
      <c r="IA4" s="68"/>
      <c r="IB4" s="68"/>
      <c r="IC4" s="68"/>
      <c r="ID4" s="91"/>
      <c r="IE4" s="67"/>
      <c r="IF4" s="76"/>
      <c r="IG4" s="72"/>
      <c r="IH4" s="72"/>
      <c r="II4" s="67"/>
      <c r="IJ4" s="67"/>
      <c r="IK4" s="68"/>
      <c r="IL4" s="68"/>
      <c r="IM4" s="68"/>
      <c r="IN4" s="68"/>
      <c r="IO4" s="67"/>
      <c r="KO4" s="67"/>
      <c r="KP4" s="67"/>
      <c r="KQ4" s="67"/>
      <c r="KR4" s="39"/>
      <c r="KS4" s="40"/>
      <c r="KT4" s="39"/>
      <c r="KU4" s="67"/>
      <c r="KV4" s="67"/>
      <c r="KW4" s="68"/>
      <c r="KX4" s="68"/>
      <c r="KY4" s="68"/>
      <c r="KZ4" s="68"/>
      <c r="LA4" s="91"/>
      <c r="LB4" s="67"/>
      <c r="LC4" s="76"/>
      <c r="LD4" s="72"/>
      <c r="LE4" s="72"/>
      <c r="LF4" s="67"/>
      <c r="LG4" s="67"/>
      <c r="LH4" s="68"/>
      <c r="LI4" s="68"/>
      <c r="LJ4" s="68"/>
      <c r="LK4" s="68"/>
      <c r="LL4" s="67"/>
      <c r="NL4" s="67"/>
      <c r="NM4" s="67"/>
      <c r="NN4" s="67"/>
      <c r="NO4" s="39"/>
      <c r="NP4" s="40"/>
      <c r="NQ4" s="39"/>
      <c r="NR4" s="67"/>
      <c r="NS4" s="67"/>
      <c r="NT4" s="68"/>
      <c r="NU4" s="68"/>
      <c r="NV4" s="68"/>
      <c r="NW4" s="68"/>
      <c r="NX4" s="91"/>
      <c r="NY4" s="67"/>
      <c r="NZ4" s="76"/>
      <c r="OA4" s="72"/>
      <c r="OB4" s="72"/>
      <c r="OC4" s="67"/>
      <c r="OD4" s="67"/>
      <c r="OE4" s="68"/>
      <c r="OF4" s="68"/>
      <c r="OG4" s="68"/>
      <c r="OH4" s="68"/>
      <c r="OI4" s="67"/>
      <c r="QI4" s="67"/>
      <c r="QJ4" s="67"/>
      <c r="QK4" s="67"/>
      <c r="QL4" s="39"/>
      <c r="QM4" s="40"/>
      <c r="QN4" s="39"/>
      <c r="QO4" s="67"/>
      <c r="QP4" s="67"/>
      <c r="QQ4" s="68"/>
      <c r="QR4" s="68"/>
      <c r="QS4" s="68"/>
      <c r="QT4" s="68"/>
      <c r="QU4" s="91"/>
      <c r="QV4" s="67"/>
      <c r="QW4" s="76"/>
      <c r="QX4" s="72"/>
      <c r="QY4" s="72"/>
      <c r="QZ4" s="67"/>
      <c r="RA4" s="67"/>
      <c r="RB4" s="68"/>
      <c r="RC4" s="68"/>
      <c r="RD4" s="68"/>
      <c r="RE4" s="68"/>
      <c r="RF4" s="67"/>
      <c r="TF4" s="67"/>
      <c r="TG4" s="67"/>
      <c r="TH4" s="67"/>
      <c r="TI4" s="39"/>
      <c r="TJ4" s="40"/>
      <c r="TK4" s="39"/>
      <c r="TL4" s="67"/>
      <c r="TM4" s="67"/>
      <c r="TN4" s="68"/>
      <c r="TO4" s="68"/>
      <c r="TP4" s="68"/>
      <c r="TQ4" s="68"/>
      <c r="TR4" s="91"/>
      <c r="TS4" s="67"/>
      <c r="TT4" s="76"/>
      <c r="TU4" s="72"/>
      <c r="TV4" s="72"/>
      <c r="TW4" s="67"/>
      <c r="TX4" s="67"/>
      <c r="TY4" s="68"/>
      <c r="TZ4" s="68"/>
      <c r="UA4" s="68"/>
      <c r="UB4" s="68"/>
      <c r="UC4" s="67"/>
      <c r="WC4" s="67"/>
      <c r="WD4" s="67"/>
      <c r="WE4" s="67"/>
      <c r="WF4" s="39"/>
      <c r="WG4" s="40"/>
      <c r="WH4" s="39"/>
      <c r="WI4" s="67"/>
      <c r="WJ4" s="67"/>
      <c r="WK4" s="68"/>
      <c r="WL4" s="68"/>
      <c r="WM4" s="68"/>
      <c r="WN4" s="68"/>
      <c r="WO4" s="91"/>
      <c r="WP4" s="67"/>
      <c r="WQ4" s="76"/>
      <c r="WR4" s="72"/>
      <c r="WS4" s="72"/>
      <c r="WT4" s="67"/>
      <c r="WU4" s="67"/>
      <c r="WV4" s="68"/>
      <c r="WW4" s="68"/>
      <c r="WX4" s="68"/>
      <c r="WY4" s="68"/>
      <c r="WZ4" s="67"/>
      <c r="YZ4" s="67"/>
      <c r="ZA4" s="67"/>
      <c r="ZB4" s="67"/>
      <c r="ZC4" s="39"/>
      <c r="ZD4" s="40"/>
      <c r="ZE4" s="39"/>
      <c r="ZF4" s="67"/>
      <c r="ZG4" s="67"/>
      <c r="ZH4" s="68"/>
      <c r="ZI4" s="68"/>
      <c r="ZJ4" s="68"/>
      <c r="ZK4" s="68"/>
      <c r="ZL4" s="91"/>
      <c r="ZM4" s="67"/>
      <c r="ZN4" s="76"/>
      <c r="ZO4" s="72"/>
      <c r="ZP4" s="72"/>
      <c r="ZQ4" s="67"/>
      <c r="ZR4" s="67"/>
      <c r="ZS4" s="68"/>
      <c r="ZT4" s="68"/>
      <c r="ZU4" s="68"/>
      <c r="ZV4" s="68"/>
      <c r="ZW4" s="67"/>
      <c r="ABW4" s="67"/>
      <c r="ABX4" s="67"/>
      <c r="ABY4" s="67"/>
      <c r="ABZ4" s="39"/>
      <c r="ACA4" s="40"/>
      <c r="ACB4" s="39"/>
      <c r="ACC4" s="67"/>
      <c r="ACD4" s="67"/>
      <c r="ACE4" s="68"/>
      <c r="ACF4" s="68"/>
      <c r="ACG4" s="68"/>
      <c r="ACH4" s="68"/>
      <c r="ACI4" s="91"/>
      <c r="ACJ4" s="67"/>
      <c r="ACK4" s="76"/>
      <c r="ACL4" s="72"/>
      <c r="ACM4" s="72"/>
      <c r="ACN4" s="67"/>
      <c r="ACO4" s="67"/>
      <c r="ACP4" s="68"/>
      <c r="ACQ4" s="68"/>
      <c r="ACR4" s="68"/>
      <c r="ACS4" s="68"/>
      <c r="ACT4" s="67"/>
      <c r="AET4" s="67"/>
      <c r="AEU4" s="67"/>
      <c r="AEV4" s="67"/>
      <c r="AEW4" s="39"/>
      <c r="AEX4" s="40"/>
      <c r="AEY4" s="39"/>
      <c r="AEZ4" s="67"/>
      <c r="AFA4" s="67"/>
      <c r="AFB4" s="68"/>
      <c r="AFC4" s="68"/>
      <c r="AFD4" s="68"/>
      <c r="AFE4" s="68"/>
      <c r="AFF4" s="91"/>
      <c r="AFG4" s="67"/>
      <c r="AFH4" s="76"/>
      <c r="AFI4" s="72"/>
      <c r="AFJ4" s="72"/>
      <c r="AFK4" s="67"/>
      <c r="AFL4" s="67"/>
      <c r="AFM4" s="68"/>
      <c r="AFN4" s="68"/>
      <c r="AFO4" s="68"/>
      <c r="AFP4" s="68"/>
      <c r="AFQ4" s="67"/>
      <c r="AHQ4" s="67"/>
      <c r="AHR4" s="67"/>
      <c r="AHS4" s="67"/>
      <c r="AHT4" s="39"/>
      <c r="AHU4" s="40"/>
      <c r="AHV4" s="39"/>
      <c r="AHW4" s="67"/>
      <c r="AHX4" s="67"/>
      <c r="AHY4" s="68"/>
      <c r="AHZ4" s="68"/>
      <c r="AIA4" s="68"/>
      <c r="AIB4" s="68"/>
      <c r="AIC4" s="91"/>
      <c r="AID4" s="67"/>
      <c r="AIE4" s="76"/>
      <c r="AIF4" s="72"/>
      <c r="AIG4" s="72"/>
      <c r="AIH4" s="67"/>
      <c r="AII4" s="67"/>
      <c r="AIJ4" s="68"/>
      <c r="AIK4" s="68"/>
      <c r="AIL4" s="68"/>
      <c r="AIM4" s="68"/>
      <c r="AIN4" s="67"/>
      <c r="AKN4" s="67"/>
      <c r="AKO4" s="67"/>
      <c r="AKP4" s="67"/>
      <c r="AKQ4" s="39"/>
      <c r="AKR4" s="40"/>
      <c r="AKS4" s="39"/>
      <c r="AKT4" s="67"/>
      <c r="AKU4" s="67"/>
      <c r="AKV4" s="68"/>
      <c r="AKW4" s="68"/>
      <c r="AKX4" s="68"/>
      <c r="AKY4" s="68"/>
      <c r="AKZ4" s="91"/>
      <c r="ALA4" s="67"/>
      <c r="ALB4" s="76"/>
      <c r="ALC4" s="72"/>
      <c r="ALD4" s="72"/>
      <c r="ALE4" s="67"/>
      <c r="ALF4" s="67"/>
      <c r="ALG4" s="68"/>
      <c r="ALH4" s="68"/>
      <c r="ALI4" s="68"/>
      <c r="ALJ4" s="68"/>
      <c r="ALK4" s="67"/>
      <c r="ANK4" s="67"/>
      <c r="ANL4" s="67"/>
      <c r="ANM4" s="67"/>
      <c r="ANN4" s="39"/>
      <c r="ANO4" s="40"/>
      <c r="ANP4" s="39"/>
      <c r="ANQ4" s="67"/>
      <c r="ANR4" s="67"/>
      <c r="ANS4" s="68"/>
      <c r="ANT4" s="68"/>
      <c r="ANU4" s="68"/>
      <c r="ANV4" s="68"/>
      <c r="ANW4" s="91"/>
      <c r="ANX4" s="67"/>
      <c r="ANY4" s="76"/>
      <c r="ANZ4" s="72"/>
      <c r="AOA4" s="72"/>
      <c r="AOB4" s="67"/>
      <c r="AOC4" s="67"/>
      <c r="AOD4" s="68"/>
      <c r="AOE4" s="68"/>
      <c r="AOF4" s="68"/>
      <c r="AOG4" s="68"/>
      <c r="AOH4" s="67"/>
      <c r="AQH4" s="67"/>
      <c r="AQI4" s="67"/>
      <c r="AQJ4" s="67"/>
      <c r="AQK4" s="39"/>
      <c r="AQL4" s="40"/>
      <c r="AQM4" s="39"/>
      <c r="AQN4" s="67"/>
      <c r="AQO4" s="67"/>
      <c r="AQP4" s="68"/>
      <c r="AQQ4" s="68"/>
      <c r="AQR4" s="68"/>
      <c r="AQS4" s="68"/>
      <c r="AQT4" s="91"/>
      <c r="AQU4" s="67"/>
      <c r="AQV4" s="76"/>
      <c r="AQW4" s="72"/>
      <c r="AQX4" s="72"/>
      <c r="AQY4" s="67"/>
      <c r="AQZ4" s="67"/>
      <c r="ARA4" s="68"/>
      <c r="ARB4" s="68"/>
      <c r="ARC4" s="68"/>
      <c r="ARD4" s="68"/>
      <c r="ARE4" s="67"/>
      <c r="ATE4" s="67"/>
      <c r="ATF4" s="67"/>
      <c r="ATG4" s="67"/>
      <c r="ATH4" s="39"/>
      <c r="ATI4" s="40"/>
      <c r="ATJ4" s="39"/>
      <c r="ATK4" s="67"/>
      <c r="ATL4" s="67"/>
      <c r="ATM4" s="68"/>
      <c r="ATN4" s="68"/>
      <c r="ATO4" s="68"/>
      <c r="ATP4" s="68"/>
      <c r="ATQ4" s="91"/>
      <c r="ATR4" s="67"/>
      <c r="ATS4" s="76"/>
      <c r="ATT4" s="72"/>
      <c r="ATU4" s="72"/>
      <c r="ATV4" s="67"/>
      <c r="ATW4" s="67"/>
      <c r="ATX4" s="68"/>
      <c r="ATY4" s="68"/>
      <c r="ATZ4" s="68"/>
      <c r="AUA4" s="68"/>
      <c r="AUB4" s="67"/>
      <c r="AWB4" s="67"/>
      <c r="AWC4" s="67"/>
      <c r="AWD4" s="67"/>
      <c r="AWE4" s="39"/>
      <c r="AWF4" s="40"/>
      <c r="AWG4" s="39"/>
      <c r="AWH4" s="67"/>
      <c r="AWI4" s="67"/>
      <c r="AWJ4" s="68"/>
      <c r="AWK4" s="68"/>
      <c r="AWL4" s="68"/>
      <c r="AWM4" s="68"/>
      <c r="AWN4" s="91"/>
      <c r="AWO4" s="67"/>
      <c r="AWP4" s="76"/>
      <c r="AWQ4" s="72"/>
      <c r="AWR4" s="72"/>
      <c r="AWS4" s="67"/>
      <c r="AWT4" s="67"/>
      <c r="AWU4" s="68"/>
      <c r="AWV4" s="68"/>
      <c r="AWW4" s="68"/>
      <c r="AWX4" s="68"/>
      <c r="AWY4" s="67"/>
      <c r="AYY4" s="67"/>
      <c r="AYZ4" s="67"/>
      <c r="AZA4" s="67"/>
      <c r="AZB4" s="39"/>
      <c r="AZC4" s="40"/>
      <c r="AZD4" s="39"/>
      <c r="AZE4" s="67"/>
      <c r="AZF4" s="67"/>
      <c r="AZG4" s="68"/>
      <c r="AZH4" s="68"/>
      <c r="AZI4" s="68"/>
      <c r="AZJ4" s="68"/>
      <c r="AZK4" s="91"/>
      <c r="AZL4" s="67"/>
      <c r="AZM4" s="76"/>
      <c r="AZN4" s="72"/>
      <c r="AZO4" s="72"/>
      <c r="AZP4" s="67"/>
      <c r="AZQ4" s="67"/>
      <c r="AZR4" s="68"/>
      <c r="AZS4" s="68"/>
      <c r="AZT4" s="68"/>
      <c r="AZU4" s="68"/>
      <c r="AZV4" s="67"/>
      <c r="BBV4" s="67"/>
      <c r="BBW4" s="67"/>
      <c r="BBX4" s="67"/>
      <c r="BBY4" s="39"/>
      <c r="BBZ4" s="40"/>
      <c r="BCA4" s="39"/>
      <c r="BCB4" s="67"/>
      <c r="BCC4" s="67"/>
      <c r="BCD4" s="68"/>
      <c r="BCE4" s="68"/>
      <c r="BCF4" s="68"/>
      <c r="BCG4" s="68"/>
      <c r="BCH4" s="91"/>
      <c r="BCI4" s="67"/>
      <c r="BCJ4" s="76"/>
      <c r="BCK4" s="72"/>
      <c r="BCL4" s="72"/>
      <c r="BCM4" s="67"/>
      <c r="BCN4" s="67"/>
      <c r="BCO4" s="68"/>
      <c r="BCP4" s="68"/>
      <c r="BCQ4" s="68"/>
      <c r="BCR4" s="68"/>
      <c r="BCS4" s="67"/>
      <c r="BES4" s="67"/>
      <c r="BET4" s="67"/>
      <c r="BEU4" s="67"/>
      <c r="BEV4" s="39"/>
      <c r="BEW4" s="40"/>
      <c r="BEX4" s="39"/>
      <c r="BEY4" s="67"/>
      <c r="BEZ4" s="67"/>
      <c r="BFA4" s="68"/>
      <c r="BFB4" s="68"/>
      <c r="BFC4" s="68"/>
      <c r="BFD4" s="68"/>
      <c r="BFE4" s="91"/>
      <c r="BFF4" s="67"/>
      <c r="BFG4" s="76"/>
      <c r="BFH4" s="72"/>
      <c r="BFI4" s="72"/>
      <c r="BFJ4" s="67"/>
      <c r="BFK4" s="67"/>
      <c r="BFL4" s="68"/>
      <c r="BFM4" s="68"/>
      <c r="BFN4" s="68"/>
      <c r="BFO4" s="68"/>
      <c r="BFP4" s="67"/>
      <c r="BHP4" s="67"/>
      <c r="BHQ4" s="67"/>
      <c r="BHR4" s="67"/>
      <c r="BHS4" s="39"/>
      <c r="BHT4" s="40"/>
      <c r="BHU4" s="39"/>
      <c r="BHV4" s="67"/>
      <c r="BHW4" s="67"/>
      <c r="BHX4" s="68"/>
      <c r="BHY4" s="68"/>
      <c r="BHZ4" s="68"/>
      <c r="BIA4" s="68"/>
      <c r="BIB4" s="91"/>
      <c r="BIC4" s="67"/>
      <c r="BID4" s="76"/>
      <c r="BIE4" s="72"/>
      <c r="BIF4" s="72"/>
      <c r="BIG4" s="67"/>
      <c r="BIH4" s="67"/>
      <c r="BII4" s="68"/>
      <c r="BIJ4" s="68"/>
      <c r="BIK4" s="68"/>
      <c r="BIL4" s="68"/>
      <c r="BIM4" s="67"/>
      <c r="BKM4" s="67"/>
      <c r="BKN4" s="67"/>
      <c r="BKO4" s="67"/>
      <c r="BKP4" s="39"/>
      <c r="BKQ4" s="40"/>
      <c r="BKR4" s="39"/>
      <c r="BKS4" s="67"/>
      <c r="BKT4" s="67"/>
      <c r="BKU4" s="68"/>
      <c r="BKV4" s="68"/>
      <c r="BKW4" s="68"/>
      <c r="BKX4" s="68"/>
      <c r="BKY4" s="91"/>
      <c r="BKZ4" s="67"/>
      <c r="BLA4" s="76"/>
      <c r="BLB4" s="72"/>
      <c r="BLC4" s="72"/>
      <c r="BLD4" s="67"/>
      <c r="BLE4" s="67"/>
      <c r="BLF4" s="68"/>
      <c r="BLG4" s="68"/>
      <c r="BLH4" s="68"/>
      <c r="BLI4" s="68"/>
      <c r="BLJ4" s="67"/>
      <c r="BNJ4" s="67"/>
      <c r="BNK4" s="67"/>
      <c r="BNL4" s="67"/>
      <c r="BNM4" s="39"/>
      <c r="BNN4" s="40"/>
      <c r="BNO4" s="39"/>
      <c r="BNP4" s="67"/>
      <c r="BNQ4" s="67"/>
      <c r="BNR4" s="68"/>
      <c r="BNS4" s="68"/>
      <c r="BNT4" s="68"/>
      <c r="BNU4" s="68"/>
      <c r="BNV4" s="91"/>
      <c r="BNW4" s="67"/>
      <c r="BNX4" s="76"/>
      <c r="BNY4" s="72"/>
      <c r="BNZ4" s="72"/>
      <c r="BOA4" s="67"/>
      <c r="BOB4" s="67"/>
      <c r="BOC4" s="68"/>
      <c r="BOD4" s="68"/>
      <c r="BOE4" s="68"/>
      <c r="BOF4" s="68"/>
      <c r="BOG4" s="67"/>
      <c r="BQG4" s="67"/>
      <c r="BQH4" s="67"/>
      <c r="BQI4" s="67"/>
      <c r="BQJ4" s="39"/>
      <c r="BQK4" s="40"/>
      <c r="BQL4" s="39"/>
      <c r="BQM4" s="67"/>
      <c r="BQN4" s="67"/>
      <c r="BQO4" s="68"/>
      <c r="BQP4" s="68"/>
      <c r="BQQ4" s="68"/>
      <c r="BQR4" s="68"/>
      <c r="BQS4" s="91"/>
      <c r="BQT4" s="67"/>
      <c r="BQU4" s="76"/>
      <c r="BQV4" s="72"/>
      <c r="BQW4" s="72"/>
      <c r="BQX4" s="67"/>
      <c r="BQY4" s="67"/>
      <c r="BQZ4" s="68"/>
      <c r="BRA4" s="68"/>
      <c r="BRB4" s="68"/>
      <c r="BRC4" s="68"/>
      <c r="BRD4" s="67"/>
      <c r="BTD4" s="67"/>
      <c r="BTE4" s="67"/>
      <c r="BTF4" s="67"/>
      <c r="BTG4" s="39"/>
      <c r="BTH4" s="40"/>
      <c r="BTI4" s="39"/>
      <c r="BTJ4" s="67"/>
      <c r="BTK4" s="67"/>
      <c r="BTL4" s="68"/>
      <c r="BTM4" s="68"/>
      <c r="BTN4" s="68"/>
      <c r="BTO4" s="68"/>
      <c r="BTP4" s="91"/>
      <c r="BTQ4" s="67"/>
      <c r="BTR4" s="76"/>
      <c r="BTS4" s="72"/>
      <c r="BTT4" s="72"/>
      <c r="BTU4" s="67"/>
      <c r="BTV4" s="67"/>
      <c r="BTW4" s="68"/>
      <c r="BTX4" s="68"/>
      <c r="BTY4" s="68"/>
      <c r="BTZ4" s="68"/>
      <c r="BUA4" s="67"/>
      <c r="BWA4" s="67"/>
      <c r="BWB4" s="67"/>
      <c r="BWC4" s="67"/>
      <c r="BWD4" s="39"/>
      <c r="BWE4" s="40"/>
      <c r="BWF4" s="39"/>
      <c r="BWG4" s="67"/>
      <c r="BWH4" s="67"/>
      <c r="BWI4" s="68"/>
      <c r="BWJ4" s="68"/>
      <c r="BWK4" s="68"/>
      <c r="BWL4" s="68"/>
      <c r="BWM4" s="91"/>
      <c r="BWN4" s="67"/>
      <c r="BWO4" s="76"/>
      <c r="BWP4" s="72"/>
      <c r="BWQ4" s="72"/>
      <c r="BWR4" s="67"/>
      <c r="BWS4" s="67"/>
      <c r="BWT4" s="68"/>
      <c r="BWU4" s="68"/>
      <c r="BWV4" s="68"/>
      <c r="BWW4" s="68"/>
      <c r="BWX4" s="67"/>
      <c r="BYX4" s="67"/>
      <c r="BYY4" s="67"/>
      <c r="BYZ4" s="67"/>
      <c r="BZA4" s="39"/>
      <c r="BZB4" s="40"/>
      <c r="BZC4" s="39"/>
      <c r="BZD4" s="67"/>
      <c r="BZE4" s="67"/>
      <c r="BZF4" s="68"/>
      <c r="BZG4" s="68"/>
      <c r="BZH4" s="68"/>
      <c r="BZI4" s="68"/>
      <c r="BZJ4" s="91"/>
      <c r="BZK4" s="67"/>
      <c r="BZL4" s="76"/>
      <c r="BZM4" s="72"/>
      <c r="BZN4" s="72"/>
      <c r="BZO4" s="67"/>
      <c r="BZP4" s="67"/>
      <c r="BZQ4" s="68"/>
      <c r="BZR4" s="68"/>
      <c r="BZS4" s="68"/>
      <c r="BZT4" s="68"/>
      <c r="BZU4" s="67"/>
      <c r="CBU4" s="67"/>
      <c r="CBV4" s="67"/>
      <c r="CBW4" s="67"/>
      <c r="CBX4" s="39"/>
      <c r="CBY4" s="40"/>
      <c r="CBZ4" s="39"/>
      <c r="CCA4" s="67"/>
      <c r="CCB4" s="67"/>
      <c r="CCC4" s="68"/>
      <c r="CCD4" s="68"/>
      <c r="CCE4" s="68"/>
      <c r="CCF4" s="68"/>
      <c r="CCG4" s="91"/>
      <c r="CCH4" s="67"/>
      <c r="CCI4" s="76"/>
      <c r="CCJ4" s="72"/>
      <c r="CCK4" s="72"/>
      <c r="CCL4" s="67"/>
      <c r="CCM4" s="67"/>
      <c r="CCN4" s="68"/>
      <c r="CCO4" s="68"/>
      <c r="CCP4" s="68"/>
      <c r="CCQ4" s="68"/>
      <c r="CCR4" s="67"/>
      <c r="CER4" s="67"/>
      <c r="CES4" s="67"/>
      <c r="CET4" s="67"/>
      <c r="CEU4" s="39"/>
      <c r="CEV4" s="40"/>
      <c r="CEW4" s="39"/>
      <c r="CEX4" s="67"/>
      <c r="CEY4" s="67"/>
      <c r="CEZ4" s="68"/>
      <c r="CFA4" s="68"/>
      <c r="CFB4" s="68"/>
      <c r="CFC4" s="68"/>
      <c r="CFD4" s="91"/>
      <c r="CFE4" s="67"/>
      <c r="CFF4" s="76"/>
      <c r="CFG4" s="72"/>
      <c r="CFH4" s="72"/>
      <c r="CFI4" s="67"/>
      <c r="CFJ4" s="67"/>
      <c r="CFK4" s="68"/>
      <c r="CFL4" s="68"/>
      <c r="CFM4" s="68"/>
      <c r="CFN4" s="68"/>
      <c r="CFO4" s="67"/>
      <c r="CHO4" s="67"/>
      <c r="CHP4" s="67"/>
      <c r="CHQ4" s="67"/>
      <c r="CHR4" s="39"/>
      <c r="CHS4" s="40"/>
      <c r="CHT4" s="39"/>
      <c r="CHU4" s="67"/>
      <c r="CHV4" s="67"/>
      <c r="CHW4" s="68"/>
      <c r="CHX4" s="68"/>
      <c r="CHY4" s="68"/>
      <c r="CHZ4" s="68"/>
      <c r="CIA4" s="91"/>
      <c r="CIB4" s="67"/>
      <c r="CIC4" s="76"/>
      <c r="CID4" s="72"/>
      <c r="CIE4" s="72"/>
      <c r="CIF4" s="67"/>
      <c r="CIG4" s="67"/>
      <c r="CIH4" s="68"/>
      <c r="CII4" s="68"/>
      <c r="CIJ4" s="68"/>
      <c r="CIK4" s="68"/>
      <c r="CIL4" s="67"/>
      <c r="CKL4" s="67"/>
      <c r="CKM4" s="67"/>
      <c r="CKN4" s="67"/>
      <c r="CKO4" s="39"/>
      <c r="CKP4" s="40"/>
      <c r="CKQ4" s="39"/>
      <c r="CKR4" s="67"/>
      <c r="CKS4" s="67"/>
      <c r="CKT4" s="68"/>
      <c r="CKU4" s="68"/>
      <c r="CKV4" s="68"/>
      <c r="CKW4" s="68"/>
      <c r="CKX4" s="91"/>
      <c r="CKY4" s="67"/>
      <c r="CKZ4" s="76"/>
      <c r="CLA4" s="72"/>
      <c r="CLB4" s="72"/>
      <c r="CLC4" s="67"/>
      <c r="CLD4" s="67"/>
      <c r="CLE4" s="68"/>
      <c r="CLF4" s="68"/>
      <c r="CLG4" s="68"/>
      <c r="CLH4" s="68"/>
      <c r="CLI4" s="67"/>
      <c r="CNI4" s="67"/>
      <c r="CNJ4" s="67"/>
      <c r="CNK4" s="67"/>
      <c r="CNL4" s="39"/>
      <c r="CNM4" s="40"/>
      <c r="CNN4" s="39"/>
      <c r="CNO4" s="67"/>
      <c r="CNP4" s="67"/>
      <c r="CNQ4" s="68"/>
      <c r="CNR4" s="68"/>
      <c r="CNS4" s="68"/>
      <c r="CNT4" s="68"/>
      <c r="CNU4" s="91"/>
      <c r="CNV4" s="67"/>
      <c r="CNW4" s="76"/>
      <c r="CNX4" s="72"/>
      <c r="CNY4" s="72"/>
      <c r="CNZ4" s="67"/>
      <c r="COA4" s="67"/>
      <c r="COB4" s="68"/>
      <c r="COC4" s="68"/>
      <c r="COD4" s="68"/>
      <c r="COE4" s="68"/>
      <c r="COF4" s="67"/>
      <c r="CQF4" s="67"/>
      <c r="CQG4" s="67"/>
      <c r="CQH4" s="67"/>
      <c r="CQI4" s="39"/>
      <c r="CQJ4" s="40"/>
      <c r="CQK4" s="39"/>
      <c r="CQL4" s="67"/>
      <c r="CQM4" s="67"/>
      <c r="CQN4" s="68"/>
      <c r="CQO4" s="68"/>
      <c r="CQP4" s="68"/>
      <c r="CQQ4" s="68"/>
      <c r="CQR4" s="91"/>
      <c r="CQS4" s="67"/>
      <c r="CQT4" s="76"/>
      <c r="CQU4" s="72"/>
      <c r="CQV4" s="72"/>
      <c r="CQW4" s="67"/>
      <c r="CQX4" s="67"/>
      <c r="CQY4" s="68"/>
      <c r="CQZ4" s="68"/>
      <c r="CRA4" s="68"/>
      <c r="CRB4" s="68"/>
      <c r="CRC4" s="67"/>
      <c r="CTC4" s="67"/>
      <c r="CTD4" s="67"/>
      <c r="CTE4" s="67"/>
      <c r="CTF4" s="39"/>
      <c r="CTG4" s="40"/>
      <c r="CTH4" s="39"/>
      <c r="CTI4" s="67"/>
      <c r="CTJ4" s="67"/>
      <c r="CTK4" s="68"/>
      <c r="CTL4" s="68"/>
      <c r="CTM4" s="68"/>
      <c r="CTN4" s="68"/>
      <c r="CTO4" s="91"/>
      <c r="CTP4" s="67"/>
      <c r="CTQ4" s="76"/>
      <c r="CTR4" s="72"/>
      <c r="CTS4" s="72"/>
      <c r="CTT4" s="67"/>
      <c r="CTU4" s="67"/>
      <c r="CTV4" s="68"/>
      <c r="CTW4" s="68"/>
      <c r="CTX4" s="68"/>
      <c r="CTY4" s="68"/>
      <c r="CTZ4" s="67"/>
      <c r="CVZ4" s="67"/>
      <c r="CWA4" s="67"/>
      <c r="CWB4" s="67"/>
      <c r="CWC4" s="39"/>
      <c r="CWD4" s="40"/>
      <c r="CWE4" s="39"/>
      <c r="CWF4" s="67"/>
      <c r="CWG4" s="67"/>
      <c r="CWH4" s="68"/>
      <c r="CWI4" s="68"/>
      <c r="CWJ4" s="68"/>
      <c r="CWK4" s="68"/>
      <c r="CWL4" s="91"/>
      <c r="CWM4" s="67"/>
      <c r="CWN4" s="76"/>
      <c r="CWO4" s="72"/>
      <c r="CWP4" s="72"/>
      <c r="CWQ4" s="67"/>
      <c r="CWR4" s="67"/>
      <c r="CWS4" s="68"/>
      <c r="CWT4" s="68"/>
      <c r="CWU4" s="68"/>
      <c r="CWV4" s="68"/>
      <c r="CWW4" s="67"/>
      <c r="CYW4" s="67"/>
      <c r="CYX4" s="67"/>
      <c r="CYY4" s="67"/>
      <c r="CYZ4" s="39"/>
      <c r="CZA4" s="40"/>
      <c r="CZB4" s="39"/>
      <c r="CZC4" s="67"/>
      <c r="CZD4" s="67"/>
      <c r="CZE4" s="68"/>
      <c r="CZF4" s="68"/>
      <c r="CZG4" s="68"/>
      <c r="CZH4" s="68"/>
      <c r="CZI4" s="91"/>
      <c r="CZJ4" s="67"/>
      <c r="CZK4" s="76"/>
      <c r="CZL4" s="72"/>
      <c r="CZM4" s="72"/>
      <c r="CZN4" s="67"/>
      <c r="CZO4" s="67"/>
      <c r="CZP4" s="68"/>
      <c r="CZQ4" s="68"/>
      <c r="CZR4" s="68"/>
      <c r="CZS4" s="68"/>
      <c r="CZT4" s="67"/>
      <c r="DBT4" s="67"/>
      <c r="DBU4" s="67"/>
      <c r="DBV4" s="67"/>
      <c r="DBW4" s="39"/>
      <c r="DBX4" s="40"/>
      <c r="DBY4" s="39"/>
      <c r="DBZ4" s="67"/>
      <c r="DCA4" s="67"/>
      <c r="DCB4" s="68"/>
      <c r="DCC4" s="68"/>
      <c r="DCD4" s="68"/>
      <c r="DCE4" s="68"/>
      <c r="DCF4" s="91"/>
      <c r="DCG4" s="67"/>
      <c r="DCH4" s="76"/>
      <c r="DCI4" s="72"/>
      <c r="DCJ4" s="72"/>
      <c r="DCK4" s="67"/>
      <c r="DCL4" s="67"/>
      <c r="DCM4" s="68"/>
      <c r="DCN4" s="68"/>
      <c r="DCO4" s="68"/>
      <c r="DCP4" s="68"/>
      <c r="DCQ4" s="67"/>
      <c r="DEQ4" s="67"/>
      <c r="DER4" s="67"/>
      <c r="DES4" s="67"/>
      <c r="DET4" s="39"/>
      <c r="DEU4" s="40"/>
      <c r="DEV4" s="39"/>
      <c r="DEW4" s="67"/>
      <c r="DEX4" s="67"/>
      <c r="DEY4" s="68"/>
      <c r="DEZ4" s="68"/>
      <c r="DFA4" s="68"/>
      <c r="DFB4" s="68"/>
      <c r="DFC4" s="91"/>
      <c r="DFD4" s="67"/>
      <c r="DFE4" s="76"/>
      <c r="DFF4" s="72"/>
      <c r="DFG4" s="72"/>
      <c r="DFH4" s="67"/>
      <c r="DFI4" s="67"/>
      <c r="DFJ4" s="68"/>
      <c r="DFK4" s="68"/>
      <c r="DFL4" s="68"/>
      <c r="DFM4" s="68"/>
      <c r="DFN4" s="67"/>
      <c r="DHN4" s="67"/>
      <c r="DHO4" s="67"/>
      <c r="DHP4" s="67"/>
      <c r="DHQ4" s="39"/>
      <c r="DHR4" s="40"/>
      <c r="DHS4" s="39"/>
      <c r="DHT4" s="67"/>
      <c r="DHU4" s="67"/>
      <c r="DHV4" s="68"/>
      <c r="DHW4" s="68"/>
      <c r="DHX4" s="68"/>
      <c r="DHY4" s="68"/>
      <c r="DHZ4" s="91"/>
      <c r="DIA4" s="67"/>
      <c r="DIB4" s="76"/>
      <c r="DIC4" s="72"/>
      <c r="DID4" s="72"/>
      <c r="DIE4" s="67"/>
      <c r="DIF4" s="67"/>
      <c r="DIG4" s="68"/>
      <c r="DIH4" s="68"/>
      <c r="DII4" s="68"/>
      <c r="DIJ4" s="68"/>
      <c r="DIK4" s="67"/>
      <c r="DKK4" s="67"/>
      <c r="DKL4" s="67"/>
      <c r="DKM4" s="67"/>
      <c r="DKN4" s="39"/>
      <c r="DKO4" s="40"/>
      <c r="DKP4" s="39"/>
      <c r="DKQ4" s="67"/>
      <c r="DKR4" s="67"/>
      <c r="DKS4" s="68"/>
      <c r="DKT4" s="68"/>
      <c r="DKU4" s="68"/>
      <c r="DKV4" s="68"/>
      <c r="DKW4" s="91"/>
      <c r="DKX4" s="67"/>
      <c r="DKY4" s="76"/>
      <c r="DKZ4" s="72"/>
      <c r="DLA4" s="72"/>
      <c r="DLB4" s="67"/>
      <c r="DLC4" s="67"/>
      <c r="DLD4" s="68"/>
      <c r="DLE4" s="68"/>
      <c r="DLF4" s="68"/>
      <c r="DLG4" s="68"/>
      <c r="DLH4" s="67"/>
      <c r="DNH4" s="67"/>
      <c r="DNI4" s="67"/>
      <c r="DNJ4" s="67"/>
      <c r="DNK4" s="39"/>
      <c r="DNL4" s="40"/>
      <c r="DNM4" s="39"/>
      <c r="DNN4" s="67"/>
      <c r="DNO4" s="67"/>
      <c r="DNP4" s="68"/>
      <c r="DNQ4" s="68"/>
      <c r="DNR4" s="68"/>
      <c r="DNS4" s="68"/>
      <c r="DNT4" s="91"/>
      <c r="DNU4" s="67"/>
      <c r="DNV4" s="76"/>
      <c r="DNW4" s="72"/>
      <c r="DNX4" s="72"/>
      <c r="DNY4" s="67"/>
      <c r="DNZ4" s="67"/>
      <c r="DOA4" s="68"/>
      <c r="DOB4" s="68"/>
      <c r="DOC4" s="68"/>
      <c r="DOD4" s="68"/>
      <c r="DOE4" s="67"/>
      <c r="DQE4" s="67"/>
      <c r="DQF4" s="67"/>
      <c r="DQG4" s="67"/>
      <c r="DQH4" s="39"/>
      <c r="DQI4" s="40"/>
      <c r="DQJ4" s="39"/>
      <c r="DQK4" s="67"/>
      <c r="DQL4" s="67"/>
      <c r="DQM4" s="68"/>
      <c r="DQN4" s="68"/>
      <c r="DQO4" s="68"/>
      <c r="DQP4" s="68"/>
      <c r="DQQ4" s="91"/>
      <c r="DQR4" s="67"/>
      <c r="DQS4" s="76"/>
      <c r="DQT4" s="72"/>
      <c r="DQU4" s="72"/>
      <c r="DQV4" s="67"/>
      <c r="DQW4" s="67"/>
      <c r="DQX4" s="68"/>
      <c r="DQY4" s="68"/>
      <c r="DQZ4" s="68"/>
      <c r="DRA4" s="68"/>
      <c r="DRB4" s="67"/>
      <c r="DTB4" s="67"/>
      <c r="DTC4" s="67"/>
      <c r="DTD4" s="67"/>
      <c r="DTE4" s="39"/>
      <c r="DTF4" s="40"/>
      <c r="DTG4" s="39"/>
      <c r="DTH4" s="67"/>
      <c r="DTI4" s="67"/>
      <c r="DTJ4" s="68"/>
      <c r="DTK4" s="68"/>
      <c r="DTL4" s="68"/>
      <c r="DTM4" s="68"/>
      <c r="DTN4" s="91"/>
      <c r="DTO4" s="67"/>
      <c r="DTP4" s="76"/>
      <c r="DTQ4" s="72"/>
      <c r="DTR4" s="72"/>
      <c r="DTS4" s="67"/>
      <c r="DTT4" s="67"/>
      <c r="DTU4" s="68"/>
      <c r="DTV4" s="68"/>
      <c r="DTW4" s="68"/>
      <c r="DTX4" s="68"/>
      <c r="DTY4" s="67"/>
      <c r="DVY4" s="67"/>
      <c r="DVZ4" s="67"/>
      <c r="DWA4" s="67"/>
      <c r="DWB4" s="39"/>
      <c r="DWC4" s="40"/>
      <c r="DWD4" s="39"/>
      <c r="DWE4" s="67"/>
      <c r="DWF4" s="67"/>
      <c r="DWG4" s="68"/>
      <c r="DWH4" s="68"/>
      <c r="DWI4" s="68"/>
      <c r="DWJ4" s="68"/>
      <c r="DWK4" s="91"/>
      <c r="DWL4" s="67"/>
      <c r="DWM4" s="76"/>
      <c r="DWN4" s="72"/>
      <c r="DWO4" s="72"/>
      <c r="DWP4" s="67"/>
      <c r="DWQ4" s="67"/>
      <c r="DWR4" s="68"/>
      <c r="DWS4" s="68"/>
      <c r="DWT4" s="68"/>
      <c r="DWU4" s="68"/>
      <c r="DWV4" s="67"/>
      <c r="DYV4" s="67"/>
      <c r="DYW4" s="67"/>
      <c r="DYX4" s="67"/>
      <c r="DYY4" s="39"/>
      <c r="DYZ4" s="40"/>
      <c r="DZA4" s="39"/>
      <c r="DZB4" s="67"/>
      <c r="DZC4" s="67"/>
      <c r="DZD4" s="68"/>
      <c r="DZE4" s="68"/>
      <c r="DZF4" s="68"/>
      <c r="DZG4" s="68"/>
      <c r="DZH4" s="91"/>
      <c r="DZI4" s="67"/>
      <c r="DZJ4" s="76"/>
      <c r="DZK4" s="72"/>
      <c r="DZL4" s="72"/>
      <c r="DZM4" s="67"/>
      <c r="DZN4" s="67"/>
      <c r="DZO4" s="68"/>
      <c r="DZP4" s="68"/>
      <c r="DZQ4" s="68"/>
      <c r="DZR4" s="68"/>
      <c r="DZS4" s="67"/>
      <c r="EBS4" s="67"/>
      <c r="EBT4" s="67"/>
      <c r="EBU4" s="67"/>
      <c r="EBV4" s="39"/>
      <c r="EBW4" s="40"/>
      <c r="EBX4" s="39"/>
      <c r="EBY4" s="67"/>
      <c r="EBZ4" s="67"/>
      <c r="ECA4" s="68"/>
      <c r="ECB4" s="68"/>
      <c r="ECC4" s="68"/>
      <c r="ECD4" s="68"/>
      <c r="ECE4" s="91"/>
      <c r="ECF4" s="67"/>
      <c r="ECG4" s="76"/>
      <c r="ECH4" s="72"/>
      <c r="ECI4" s="72"/>
      <c r="ECJ4" s="67"/>
      <c r="ECK4" s="67"/>
      <c r="ECL4" s="68"/>
      <c r="ECM4" s="68"/>
      <c r="ECN4" s="68"/>
      <c r="ECO4" s="68"/>
      <c r="ECP4" s="67"/>
      <c r="EEP4" s="67"/>
      <c r="EEQ4" s="67"/>
      <c r="EER4" s="67"/>
      <c r="EES4" s="39"/>
      <c r="EET4" s="40"/>
      <c r="EEU4" s="39"/>
      <c r="EEV4" s="67"/>
      <c r="EEW4" s="67"/>
      <c r="EEX4" s="68"/>
      <c r="EEY4" s="68"/>
      <c r="EEZ4" s="68"/>
      <c r="EFA4" s="68"/>
      <c r="EFB4" s="91"/>
      <c r="EFC4" s="67"/>
      <c r="EFD4" s="76"/>
      <c r="EFE4" s="72"/>
      <c r="EFF4" s="72"/>
      <c r="EFG4" s="67"/>
      <c r="EFH4" s="67"/>
      <c r="EFI4" s="68"/>
      <c r="EFJ4" s="68"/>
      <c r="EFK4" s="68"/>
      <c r="EFL4" s="68"/>
      <c r="EFM4" s="67"/>
      <c r="EHM4" s="67"/>
      <c r="EHN4" s="67"/>
      <c r="EHO4" s="67"/>
      <c r="EHP4" s="39"/>
      <c r="EHQ4" s="40"/>
      <c r="EHR4" s="39"/>
      <c r="EHS4" s="67"/>
      <c r="EHT4" s="67"/>
      <c r="EHU4" s="68"/>
      <c r="EHV4" s="68"/>
      <c r="EHW4" s="68"/>
      <c r="EHX4" s="68"/>
      <c r="EHY4" s="91"/>
      <c r="EHZ4" s="67"/>
      <c r="EIA4" s="76"/>
      <c r="EIB4" s="72"/>
      <c r="EIC4" s="72"/>
      <c r="EID4" s="67"/>
      <c r="EIE4" s="67"/>
      <c r="EIF4" s="68"/>
      <c r="EIG4" s="68"/>
      <c r="EIH4" s="68"/>
      <c r="EII4" s="68"/>
      <c r="EIJ4" s="67"/>
      <c r="EKJ4" s="67"/>
      <c r="EKK4" s="67"/>
      <c r="EKL4" s="67"/>
      <c r="EKM4" s="39"/>
      <c r="EKN4" s="40"/>
      <c r="EKO4" s="39"/>
      <c r="EKP4" s="67"/>
      <c r="EKQ4" s="67"/>
      <c r="EKR4" s="68"/>
      <c r="EKS4" s="68"/>
      <c r="EKT4" s="68"/>
      <c r="EKU4" s="68"/>
      <c r="EKV4" s="91"/>
      <c r="EKW4" s="67"/>
      <c r="EKX4" s="76"/>
      <c r="EKY4" s="72"/>
      <c r="EKZ4" s="72"/>
      <c r="ELA4" s="67"/>
      <c r="ELB4" s="67"/>
      <c r="ELC4" s="68"/>
      <c r="ELD4" s="68"/>
      <c r="ELE4" s="68"/>
      <c r="ELF4" s="68"/>
      <c r="ELG4" s="67"/>
      <c r="ENG4" s="67"/>
      <c r="ENH4" s="67"/>
      <c r="ENI4" s="67"/>
      <c r="ENJ4" s="39"/>
      <c r="ENK4" s="40"/>
      <c r="ENL4" s="39"/>
      <c r="ENM4" s="67"/>
      <c r="ENN4" s="67"/>
      <c r="ENO4" s="68"/>
      <c r="ENP4" s="68"/>
      <c r="ENQ4" s="68"/>
      <c r="ENR4" s="68"/>
      <c r="ENS4" s="91"/>
      <c r="ENT4" s="67"/>
      <c r="ENU4" s="76"/>
      <c r="ENV4" s="72"/>
      <c r="ENW4" s="72"/>
      <c r="ENX4" s="67"/>
      <c r="ENY4" s="67"/>
      <c r="ENZ4" s="68"/>
      <c r="EOA4" s="68"/>
      <c r="EOB4" s="68"/>
      <c r="EOC4" s="68"/>
      <c r="EOD4" s="67"/>
      <c r="EQD4" s="67"/>
      <c r="EQE4" s="67"/>
      <c r="EQF4" s="67"/>
      <c r="EQG4" s="39"/>
      <c r="EQH4" s="40"/>
      <c r="EQI4" s="39"/>
      <c r="EQJ4" s="67"/>
      <c r="EQK4" s="67"/>
      <c r="EQL4" s="68"/>
      <c r="EQM4" s="68"/>
      <c r="EQN4" s="68"/>
      <c r="EQO4" s="68"/>
      <c r="EQP4" s="91"/>
      <c r="EQQ4" s="67"/>
      <c r="EQR4" s="76"/>
      <c r="EQS4" s="72"/>
      <c r="EQT4" s="72"/>
      <c r="EQU4" s="67"/>
      <c r="EQV4" s="67"/>
      <c r="EQW4" s="68"/>
      <c r="EQX4" s="68"/>
      <c r="EQY4" s="68"/>
      <c r="EQZ4" s="68"/>
      <c r="ERA4" s="67"/>
      <c r="ETA4" s="67"/>
      <c r="ETB4" s="67"/>
      <c r="ETC4" s="67"/>
      <c r="ETD4" s="39"/>
      <c r="ETE4" s="40"/>
      <c r="ETF4" s="39"/>
      <c r="ETG4" s="67"/>
      <c r="ETH4" s="67"/>
      <c r="ETI4" s="68"/>
      <c r="ETJ4" s="68"/>
      <c r="ETK4" s="68"/>
      <c r="ETL4" s="68"/>
      <c r="ETM4" s="91"/>
      <c r="ETN4" s="67"/>
      <c r="ETO4" s="76"/>
      <c r="ETP4" s="72"/>
      <c r="ETQ4" s="72"/>
      <c r="ETR4" s="67"/>
      <c r="ETS4" s="67"/>
      <c r="ETT4" s="68"/>
      <c r="ETU4" s="68"/>
      <c r="ETV4" s="68"/>
      <c r="ETW4" s="68"/>
      <c r="ETX4" s="67"/>
      <c r="EVX4" s="67"/>
      <c r="EVY4" s="67"/>
      <c r="EVZ4" s="67"/>
      <c r="EWA4" s="39"/>
      <c r="EWB4" s="40"/>
      <c r="EWC4" s="39"/>
      <c r="EWD4" s="67"/>
      <c r="EWE4" s="67"/>
      <c r="EWF4" s="68"/>
      <c r="EWG4" s="68"/>
      <c r="EWH4" s="68"/>
      <c r="EWI4" s="68"/>
      <c r="EWJ4" s="91"/>
      <c r="EWK4" s="67"/>
      <c r="EWL4" s="76"/>
      <c r="EWM4" s="72"/>
      <c r="EWN4" s="72"/>
      <c r="EWO4" s="67"/>
      <c r="EWP4" s="67"/>
      <c r="EWQ4" s="68"/>
      <c r="EWR4" s="68"/>
      <c r="EWS4" s="68"/>
      <c r="EWT4" s="68"/>
      <c r="EWU4" s="67"/>
      <c r="EYU4" s="67"/>
      <c r="EYV4" s="67"/>
      <c r="EYW4" s="67"/>
      <c r="EYX4" s="39"/>
      <c r="EYY4" s="40"/>
      <c r="EYZ4" s="39"/>
      <c r="EZA4" s="67"/>
      <c r="EZB4" s="67"/>
      <c r="EZC4" s="68"/>
      <c r="EZD4" s="68"/>
      <c r="EZE4" s="68"/>
      <c r="EZF4" s="68"/>
      <c r="EZG4" s="91"/>
      <c r="EZH4" s="67"/>
      <c r="EZI4" s="76"/>
      <c r="EZJ4" s="72"/>
      <c r="EZK4" s="72"/>
      <c r="EZL4" s="67"/>
      <c r="EZM4" s="67"/>
      <c r="EZN4" s="68"/>
      <c r="EZO4" s="68"/>
      <c r="EZP4" s="68"/>
      <c r="EZQ4" s="68"/>
      <c r="EZR4" s="67"/>
      <c r="FBR4" s="67"/>
      <c r="FBS4" s="67"/>
      <c r="FBT4" s="67"/>
      <c r="FBU4" s="39"/>
      <c r="FBV4" s="40"/>
      <c r="FBW4" s="39"/>
      <c r="FBX4" s="67"/>
      <c r="FBY4" s="67"/>
      <c r="FBZ4" s="68"/>
      <c r="FCA4" s="68"/>
      <c r="FCB4" s="68"/>
      <c r="FCC4" s="68"/>
      <c r="FCD4" s="91"/>
      <c r="FCE4" s="67"/>
      <c r="FCF4" s="76"/>
      <c r="FCG4" s="72"/>
      <c r="FCH4" s="72"/>
      <c r="FCI4" s="67"/>
      <c r="FCJ4" s="67"/>
      <c r="FCK4" s="68"/>
      <c r="FCL4" s="68"/>
      <c r="FCM4" s="68"/>
      <c r="FCN4" s="68"/>
      <c r="FCO4" s="67"/>
      <c r="FEO4" s="67"/>
      <c r="FEP4" s="67"/>
      <c r="FEQ4" s="67"/>
      <c r="FER4" s="39"/>
      <c r="FES4" s="40"/>
      <c r="FET4" s="39"/>
      <c r="FEU4" s="67"/>
      <c r="FEV4" s="67"/>
      <c r="FEW4" s="68"/>
      <c r="FEX4" s="68"/>
      <c r="FEY4" s="68"/>
      <c r="FEZ4" s="68"/>
      <c r="FFA4" s="91"/>
      <c r="FFB4" s="67"/>
      <c r="FFC4" s="76"/>
      <c r="FFD4" s="72"/>
      <c r="FFE4" s="72"/>
      <c r="FFF4" s="67"/>
      <c r="FFG4" s="67"/>
      <c r="FFH4" s="68"/>
      <c r="FFI4" s="68"/>
      <c r="FFJ4" s="68"/>
      <c r="FFK4" s="68"/>
      <c r="FFL4" s="67"/>
      <c r="FHL4" s="67"/>
      <c r="FHM4" s="67"/>
      <c r="FHN4" s="67"/>
      <c r="FHO4" s="39"/>
      <c r="FHP4" s="40"/>
      <c r="FHQ4" s="39"/>
      <c r="FHR4" s="67"/>
      <c r="FHS4" s="67"/>
      <c r="FHT4" s="68"/>
      <c r="FHU4" s="68"/>
      <c r="FHV4" s="68"/>
      <c r="FHW4" s="68"/>
      <c r="FHX4" s="91"/>
      <c r="FHY4" s="67"/>
      <c r="FHZ4" s="76"/>
      <c r="FIA4" s="72"/>
      <c r="FIB4" s="72"/>
      <c r="FIC4" s="67"/>
      <c r="FID4" s="67"/>
      <c r="FIE4" s="68"/>
      <c r="FIF4" s="68"/>
      <c r="FIG4" s="68"/>
      <c r="FIH4" s="68"/>
      <c r="FII4" s="67"/>
      <c r="FKI4" s="67"/>
      <c r="FKJ4" s="67"/>
      <c r="FKK4" s="67"/>
      <c r="FKL4" s="39"/>
      <c r="FKM4" s="40"/>
      <c r="FKN4" s="39"/>
      <c r="FKO4" s="67"/>
      <c r="FKP4" s="67"/>
      <c r="FKQ4" s="68"/>
      <c r="FKR4" s="68"/>
      <c r="FKS4" s="68"/>
      <c r="FKT4" s="68"/>
      <c r="FKU4" s="91"/>
      <c r="FKV4" s="67"/>
      <c r="FKW4" s="76"/>
      <c r="FKX4" s="72"/>
      <c r="FKY4" s="72"/>
      <c r="FKZ4" s="67"/>
      <c r="FLA4" s="67"/>
      <c r="FLB4" s="68"/>
      <c r="FLC4" s="68"/>
      <c r="FLD4" s="68"/>
      <c r="FLE4" s="68"/>
      <c r="FLF4" s="67"/>
      <c r="FNF4" s="67"/>
      <c r="FNG4" s="67"/>
      <c r="FNH4" s="67"/>
      <c r="FNI4" s="39"/>
      <c r="FNJ4" s="40"/>
      <c r="FNK4" s="39"/>
      <c r="FNL4" s="67"/>
      <c r="FNM4" s="67"/>
      <c r="FNN4" s="68"/>
      <c r="FNO4" s="68"/>
      <c r="FNP4" s="68"/>
      <c r="FNQ4" s="68"/>
      <c r="FNR4" s="91"/>
      <c r="FNS4" s="67"/>
      <c r="FNT4" s="76"/>
      <c r="FNU4" s="72"/>
      <c r="FNV4" s="72"/>
      <c r="FNW4" s="67"/>
      <c r="FNX4" s="67"/>
      <c r="FNY4" s="68"/>
      <c r="FNZ4" s="68"/>
      <c r="FOA4" s="68"/>
      <c r="FOB4" s="68"/>
      <c r="FOC4" s="67"/>
      <c r="FQC4" s="67"/>
      <c r="FQD4" s="67"/>
      <c r="FQE4" s="67"/>
      <c r="FQF4" s="39"/>
      <c r="FQG4" s="40"/>
      <c r="FQH4" s="39"/>
      <c r="FQI4" s="67"/>
      <c r="FQJ4" s="67"/>
      <c r="FQK4" s="68"/>
      <c r="FQL4" s="68"/>
      <c r="FQM4" s="68"/>
      <c r="FQN4" s="68"/>
      <c r="FQO4" s="91"/>
      <c r="FQP4" s="67"/>
      <c r="FQQ4" s="76"/>
      <c r="FQR4" s="72"/>
      <c r="FQS4" s="72"/>
      <c r="FQT4" s="67"/>
      <c r="FQU4" s="67"/>
      <c r="FQV4" s="68"/>
      <c r="FQW4" s="68"/>
      <c r="FQX4" s="68"/>
      <c r="FQY4" s="68"/>
      <c r="FQZ4" s="67"/>
      <c r="FSZ4" s="67"/>
      <c r="FTA4" s="67"/>
      <c r="FTB4" s="67"/>
      <c r="FTC4" s="39"/>
      <c r="FTD4" s="40"/>
      <c r="FTE4" s="39"/>
      <c r="FTF4" s="67"/>
      <c r="FTG4" s="67"/>
      <c r="FTH4" s="68"/>
      <c r="FTI4" s="68"/>
      <c r="FTJ4" s="68"/>
      <c r="FTK4" s="68"/>
      <c r="FTL4" s="91"/>
      <c r="FTM4" s="67"/>
      <c r="FTN4" s="76"/>
      <c r="FTO4" s="72"/>
      <c r="FTP4" s="72"/>
      <c r="FTQ4" s="67"/>
      <c r="FTR4" s="67"/>
      <c r="FTS4" s="68"/>
      <c r="FTT4" s="68"/>
      <c r="FTU4" s="68"/>
      <c r="FTV4" s="68"/>
      <c r="FTW4" s="67"/>
      <c r="FVW4" s="67"/>
      <c r="FVX4" s="67"/>
      <c r="FVY4" s="67"/>
      <c r="FVZ4" s="39"/>
      <c r="FWA4" s="40"/>
      <c r="FWB4" s="39"/>
      <c r="FWC4" s="67"/>
      <c r="FWD4" s="67"/>
      <c r="FWE4" s="68"/>
      <c r="FWF4" s="68"/>
      <c r="FWG4" s="68"/>
      <c r="FWH4" s="68"/>
      <c r="FWI4" s="91"/>
      <c r="FWJ4" s="67"/>
      <c r="FWK4" s="76"/>
      <c r="FWL4" s="72"/>
      <c r="FWM4" s="72"/>
      <c r="FWN4" s="67"/>
      <c r="FWO4" s="67"/>
      <c r="FWP4" s="68"/>
      <c r="FWQ4" s="68"/>
      <c r="FWR4" s="68"/>
      <c r="FWS4" s="68"/>
      <c r="FWT4" s="67"/>
      <c r="FYT4" s="67"/>
      <c r="FYU4" s="67"/>
      <c r="FYV4" s="67"/>
      <c r="FYW4" s="39"/>
      <c r="FYX4" s="40"/>
      <c r="FYY4" s="39"/>
      <c r="FYZ4" s="67"/>
      <c r="FZA4" s="67"/>
      <c r="FZB4" s="68"/>
      <c r="FZC4" s="68"/>
      <c r="FZD4" s="68"/>
      <c r="FZE4" s="68"/>
      <c r="FZF4" s="91"/>
      <c r="FZG4" s="67"/>
      <c r="FZH4" s="76"/>
      <c r="FZI4" s="72"/>
      <c r="FZJ4" s="72"/>
      <c r="FZK4" s="67"/>
      <c r="FZL4" s="67"/>
      <c r="FZM4" s="68"/>
      <c r="FZN4" s="68"/>
      <c r="FZO4" s="68"/>
      <c r="FZP4" s="68"/>
      <c r="FZQ4" s="67"/>
      <c r="GBQ4" s="67"/>
      <c r="GBR4" s="67"/>
      <c r="GBS4" s="67"/>
      <c r="GBT4" s="39"/>
      <c r="GBU4" s="40"/>
      <c r="GBV4" s="39"/>
      <c r="GBW4" s="67"/>
      <c r="GBX4" s="67"/>
      <c r="GBY4" s="68"/>
      <c r="GBZ4" s="68"/>
      <c r="GCA4" s="68"/>
      <c r="GCB4" s="68"/>
      <c r="GCC4" s="91"/>
      <c r="GCD4" s="67"/>
      <c r="GCE4" s="76"/>
      <c r="GCF4" s="72"/>
      <c r="GCG4" s="72"/>
      <c r="GCH4" s="67"/>
      <c r="GCI4" s="67"/>
      <c r="GCJ4" s="68"/>
      <c r="GCK4" s="68"/>
      <c r="GCL4" s="68"/>
      <c r="GCM4" s="68"/>
      <c r="GCN4" s="67"/>
      <c r="GEN4" s="67"/>
      <c r="GEO4" s="67"/>
      <c r="GEP4" s="67"/>
      <c r="GEQ4" s="39"/>
      <c r="GER4" s="40"/>
      <c r="GES4" s="39"/>
      <c r="GET4" s="67"/>
      <c r="GEU4" s="67"/>
      <c r="GEV4" s="68"/>
      <c r="GEW4" s="68"/>
      <c r="GEX4" s="68"/>
      <c r="GEY4" s="68"/>
      <c r="GEZ4" s="91"/>
      <c r="GFA4" s="67"/>
      <c r="GFB4" s="76"/>
      <c r="GFC4" s="72"/>
      <c r="GFD4" s="72"/>
      <c r="GFE4" s="67"/>
      <c r="GFF4" s="67"/>
      <c r="GFG4" s="68"/>
      <c r="GFH4" s="68"/>
      <c r="GFI4" s="68"/>
      <c r="GFJ4" s="68"/>
      <c r="GFK4" s="67"/>
      <c r="GHK4" s="67"/>
      <c r="GHL4" s="67"/>
      <c r="GHM4" s="67"/>
      <c r="GHN4" s="39"/>
      <c r="GHO4" s="40"/>
      <c r="GHP4" s="39"/>
      <c r="GHQ4" s="67"/>
      <c r="GHR4" s="67"/>
      <c r="GHS4" s="68"/>
      <c r="GHT4" s="68"/>
      <c r="GHU4" s="68"/>
      <c r="GHV4" s="68"/>
      <c r="GHW4" s="91"/>
      <c r="GHX4" s="67"/>
      <c r="GHY4" s="76"/>
      <c r="GHZ4" s="72"/>
      <c r="GIA4" s="72"/>
      <c r="GIB4" s="67"/>
      <c r="GIC4" s="67"/>
      <c r="GID4" s="68"/>
      <c r="GIE4" s="68"/>
      <c r="GIF4" s="68"/>
      <c r="GIG4" s="68"/>
      <c r="GIH4" s="67"/>
      <c r="GKH4" s="67"/>
      <c r="GKI4" s="67"/>
      <c r="GKJ4" s="67"/>
      <c r="GKK4" s="39"/>
      <c r="GKL4" s="40"/>
      <c r="GKM4" s="39"/>
      <c r="GKN4" s="67"/>
      <c r="GKO4" s="67"/>
      <c r="GKP4" s="68"/>
      <c r="GKQ4" s="68"/>
      <c r="GKR4" s="68"/>
      <c r="GKS4" s="68"/>
      <c r="GKT4" s="91"/>
      <c r="GKU4" s="67"/>
      <c r="GKV4" s="76"/>
      <c r="GKW4" s="72"/>
      <c r="GKX4" s="72"/>
      <c r="GKY4" s="67"/>
      <c r="GKZ4" s="67"/>
      <c r="GLA4" s="68"/>
      <c r="GLB4" s="68"/>
      <c r="GLC4" s="68"/>
      <c r="GLD4" s="68"/>
      <c r="GLE4" s="67"/>
      <c r="GNE4" s="67"/>
      <c r="GNF4" s="67"/>
      <c r="GNG4" s="67"/>
      <c r="GNH4" s="39"/>
      <c r="GNI4" s="40"/>
      <c r="GNJ4" s="39"/>
      <c r="GNK4" s="67"/>
      <c r="GNL4" s="67"/>
      <c r="GNM4" s="68"/>
      <c r="GNN4" s="68"/>
      <c r="GNO4" s="68"/>
      <c r="GNP4" s="68"/>
      <c r="GNQ4" s="91"/>
      <c r="GNR4" s="67"/>
      <c r="GNS4" s="76"/>
      <c r="GNT4" s="72"/>
      <c r="GNU4" s="72"/>
      <c r="GNV4" s="67"/>
      <c r="GNW4" s="67"/>
      <c r="GNX4" s="68"/>
      <c r="GNY4" s="68"/>
      <c r="GNZ4" s="68"/>
      <c r="GOA4" s="68"/>
      <c r="GOB4" s="67"/>
      <c r="GQB4" s="67"/>
      <c r="GQC4" s="67"/>
      <c r="GQD4" s="67"/>
      <c r="GQE4" s="39"/>
      <c r="GQF4" s="40"/>
      <c r="GQG4" s="39"/>
      <c r="GQH4" s="67"/>
      <c r="GQI4" s="67"/>
      <c r="GQJ4" s="68"/>
      <c r="GQK4" s="68"/>
      <c r="GQL4" s="68"/>
      <c r="GQM4" s="68"/>
      <c r="GQN4" s="91"/>
      <c r="GQO4" s="67"/>
      <c r="GQP4" s="76"/>
      <c r="GQQ4" s="72"/>
      <c r="GQR4" s="72"/>
      <c r="GQS4" s="67"/>
      <c r="GQT4" s="67"/>
      <c r="GQU4" s="68"/>
      <c r="GQV4" s="68"/>
      <c r="GQW4" s="68"/>
      <c r="GQX4" s="68"/>
      <c r="GQY4" s="67"/>
      <c r="GSY4" s="67"/>
      <c r="GSZ4" s="67"/>
      <c r="GTA4" s="67"/>
      <c r="GTB4" s="39"/>
      <c r="GTC4" s="40"/>
      <c r="GTD4" s="39"/>
      <c r="GTE4" s="67"/>
      <c r="GTF4" s="67"/>
      <c r="GTG4" s="68"/>
      <c r="GTH4" s="68"/>
      <c r="GTI4" s="68"/>
      <c r="GTJ4" s="68"/>
      <c r="GTK4" s="91"/>
      <c r="GTL4" s="67"/>
      <c r="GTM4" s="76"/>
      <c r="GTN4" s="72"/>
      <c r="GTO4" s="72"/>
      <c r="GTP4" s="67"/>
      <c r="GTQ4" s="67"/>
      <c r="GTR4" s="68"/>
      <c r="GTS4" s="68"/>
      <c r="GTT4" s="68"/>
      <c r="GTU4" s="68"/>
      <c r="GTV4" s="67"/>
      <c r="GVV4" s="67"/>
      <c r="GVW4" s="67"/>
      <c r="GVX4" s="67"/>
      <c r="GVY4" s="39"/>
      <c r="GVZ4" s="40"/>
      <c r="GWA4" s="39"/>
      <c r="GWB4" s="67"/>
      <c r="GWC4" s="67"/>
      <c r="GWD4" s="68"/>
      <c r="GWE4" s="68"/>
      <c r="GWF4" s="68"/>
      <c r="GWG4" s="68"/>
      <c r="GWH4" s="91"/>
      <c r="GWI4" s="67"/>
      <c r="GWJ4" s="76"/>
      <c r="GWK4" s="72"/>
      <c r="GWL4" s="72"/>
      <c r="GWM4" s="67"/>
      <c r="GWN4" s="67"/>
      <c r="GWO4" s="68"/>
      <c r="GWP4" s="68"/>
      <c r="GWQ4" s="68"/>
      <c r="GWR4" s="68"/>
      <c r="GWS4" s="67"/>
      <c r="GYS4" s="67"/>
      <c r="GYT4" s="67"/>
      <c r="GYU4" s="67"/>
      <c r="GYV4" s="39"/>
      <c r="GYW4" s="40"/>
      <c r="GYX4" s="39"/>
      <c r="GYY4" s="67"/>
      <c r="GYZ4" s="67"/>
      <c r="GZA4" s="68"/>
      <c r="GZB4" s="68"/>
      <c r="GZC4" s="68"/>
      <c r="GZD4" s="68"/>
      <c r="GZE4" s="91"/>
      <c r="GZF4" s="67"/>
      <c r="GZG4" s="76"/>
      <c r="GZH4" s="72"/>
      <c r="GZI4" s="72"/>
      <c r="GZJ4" s="67"/>
      <c r="GZK4" s="67"/>
      <c r="GZL4" s="68"/>
      <c r="GZM4" s="68"/>
      <c r="GZN4" s="68"/>
      <c r="GZO4" s="68"/>
      <c r="GZP4" s="67"/>
      <c r="HBP4" s="67"/>
      <c r="HBQ4" s="67"/>
      <c r="HBR4" s="67"/>
      <c r="HBS4" s="39"/>
      <c r="HBT4" s="40"/>
      <c r="HBU4" s="39"/>
      <c r="HBV4" s="67"/>
      <c r="HBW4" s="67"/>
      <c r="HBX4" s="68"/>
      <c r="HBY4" s="68"/>
      <c r="HBZ4" s="68"/>
      <c r="HCA4" s="68"/>
      <c r="HCB4" s="91"/>
      <c r="HCC4" s="67"/>
      <c r="HCD4" s="76"/>
      <c r="HCE4" s="72"/>
      <c r="HCF4" s="72"/>
      <c r="HCG4" s="67"/>
      <c r="HCH4" s="67"/>
      <c r="HCI4" s="68"/>
      <c r="HCJ4" s="68"/>
      <c r="HCK4" s="68"/>
      <c r="HCL4" s="68"/>
      <c r="HCM4" s="67"/>
      <c r="HEM4" s="67"/>
      <c r="HEN4" s="67"/>
      <c r="HEO4" s="67"/>
      <c r="HEP4" s="39"/>
      <c r="HEQ4" s="40"/>
      <c r="HER4" s="39"/>
      <c r="HES4" s="67"/>
      <c r="HET4" s="67"/>
      <c r="HEU4" s="68"/>
      <c r="HEV4" s="68"/>
      <c r="HEW4" s="68"/>
      <c r="HEX4" s="68"/>
      <c r="HEY4" s="91"/>
      <c r="HEZ4" s="67"/>
      <c r="HFA4" s="76"/>
      <c r="HFB4" s="72"/>
      <c r="HFC4" s="72"/>
      <c r="HFD4" s="67"/>
      <c r="HFE4" s="67"/>
      <c r="HFF4" s="68"/>
      <c r="HFG4" s="68"/>
      <c r="HFH4" s="68"/>
      <c r="HFI4" s="68"/>
      <c r="HFJ4" s="67"/>
      <c r="HHJ4" s="67"/>
      <c r="HHK4" s="67"/>
      <c r="HHL4" s="67"/>
      <c r="HHM4" s="39"/>
      <c r="HHN4" s="40"/>
      <c r="HHO4" s="39"/>
      <c r="HHP4" s="67"/>
      <c r="HHQ4" s="67"/>
      <c r="HHR4" s="68"/>
      <c r="HHS4" s="68"/>
      <c r="HHT4" s="68"/>
      <c r="HHU4" s="68"/>
      <c r="HHV4" s="91"/>
      <c r="HHW4" s="67"/>
      <c r="HHX4" s="76"/>
      <c r="HHY4" s="72"/>
      <c r="HHZ4" s="72"/>
      <c r="HIA4" s="67"/>
      <c r="HIB4" s="67"/>
      <c r="HIC4" s="68"/>
      <c r="HID4" s="68"/>
      <c r="HIE4" s="68"/>
      <c r="HIF4" s="68"/>
      <c r="HIG4" s="67"/>
      <c r="HKG4" s="67"/>
      <c r="HKH4" s="67"/>
      <c r="HKI4" s="67"/>
      <c r="HKJ4" s="39"/>
      <c r="HKK4" s="40"/>
      <c r="HKL4" s="39"/>
      <c r="HKM4" s="67"/>
      <c r="HKN4" s="67"/>
      <c r="HKO4" s="68"/>
      <c r="HKP4" s="68"/>
      <c r="HKQ4" s="68"/>
      <c r="HKR4" s="68"/>
      <c r="HKS4" s="91"/>
      <c r="HKT4" s="67"/>
      <c r="HKU4" s="76"/>
      <c r="HKV4" s="72"/>
      <c r="HKW4" s="72"/>
      <c r="HKX4" s="67"/>
      <c r="HKY4" s="67"/>
      <c r="HKZ4" s="68"/>
      <c r="HLA4" s="68"/>
      <c r="HLB4" s="68"/>
      <c r="HLC4" s="68"/>
      <c r="HLD4" s="67"/>
      <c r="HND4" s="67"/>
      <c r="HNE4" s="67"/>
      <c r="HNF4" s="67"/>
      <c r="HNG4" s="39"/>
      <c r="HNH4" s="40"/>
      <c r="HNI4" s="39"/>
      <c r="HNJ4" s="67"/>
      <c r="HNK4" s="67"/>
      <c r="HNL4" s="68"/>
      <c r="HNM4" s="68"/>
      <c r="HNN4" s="68"/>
      <c r="HNO4" s="68"/>
      <c r="HNP4" s="91"/>
      <c r="HNQ4" s="67"/>
      <c r="HNR4" s="76"/>
      <c r="HNS4" s="72"/>
      <c r="HNT4" s="72"/>
      <c r="HNU4" s="67"/>
      <c r="HNV4" s="67"/>
      <c r="HNW4" s="68"/>
      <c r="HNX4" s="68"/>
      <c r="HNY4" s="68"/>
      <c r="HNZ4" s="68"/>
      <c r="HOA4" s="67"/>
      <c r="HQA4" s="67"/>
      <c r="HQB4" s="67"/>
      <c r="HQC4" s="67"/>
      <c r="HQD4" s="39"/>
      <c r="HQE4" s="40"/>
      <c r="HQF4" s="39"/>
      <c r="HQG4" s="67"/>
      <c r="HQH4" s="67"/>
      <c r="HQI4" s="68"/>
      <c r="HQJ4" s="68"/>
      <c r="HQK4" s="68"/>
      <c r="HQL4" s="68"/>
      <c r="HQM4" s="91"/>
      <c r="HQN4" s="67"/>
      <c r="HQO4" s="76"/>
      <c r="HQP4" s="72"/>
      <c r="HQQ4" s="72"/>
      <c r="HQR4" s="67"/>
      <c r="HQS4" s="67"/>
      <c r="HQT4" s="68"/>
      <c r="HQU4" s="68"/>
      <c r="HQV4" s="68"/>
      <c r="HQW4" s="68"/>
      <c r="HQX4" s="67"/>
      <c r="HSX4" s="67"/>
      <c r="HSY4" s="67"/>
      <c r="HSZ4" s="67"/>
      <c r="HTA4" s="39"/>
      <c r="HTB4" s="40"/>
      <c r="HTC4" s="39"/>
      <c r="HTD4" s="67"/>
      <c r="HTE4" s="67"/>
      <c r="HTF4" s="68"/>
      <c r="HTG4" s="68"/>
      <c r="HTH4" s="68"/>
      <c r="HTI4" s="68"/>
      <c r="HTJ4" s="91"/>
      <c r="HTK4" s="67"/>
      <c r="HTL4" s="76"/>
      <c r="HTM4" s="72"/>
      <c r="HTN4" s="72"/>
      <c r="HTO4" s="67"/>
      <c r="HTP4" s="67"/>
      <c r="HTQ4" s="68"/>
      <c r="HTR4" s="68"/>
      <c r="HTS4" s="68"/>
      <c r="HTT4" s="68"/>
      <c r="HTU4" s="67"/>
      <c r="HVU4" s="67"/>
      <c r="HVV4" s="67"/>
      <c r="HVW4" s="67"/>
      <c r="HVX4" s="39"/>
      <c r="HVY4" s="40"/>
      <c r="HVZ4" s="39"/>
      <c r="HWA4" s="67"/>
      <c r="HWB4" s="67"/>
      <c r="HWC4" s="68"/>
      <c r="HWD4" s="68"/>
      <c r="HWE4" s="68"/>
      <c r="HWF4" s="68"/>
      <c r="HWG4" s="91"/>
      <c r="HWH4" s="67"/>
      <c r="HWI4" s="76"/>
      <c r="HWJ4" s="72"/>
      <c r="HWK4" s="72"/>
      <c r="HWL4" s="67"/>
      <c r="HWM4" s="67"/>
      <c r="HWN4" s="68"/>
      <c r="HWO4" s="68"/>
      <c r="HWP4" s="68"/>
      <c r="HWQ4" s="68"/>
      <c r="HWR4" s="67"/>
      <c r="HYR4" s="67"/>
      <c r="HYS4" s="67"/>
      <c r="HYT4" s="67"/>
      <c r="HYU4" s="39"/>
      <c r="HYV4" s="40"/>
      <c r="HYW4" s="39"/>
      <c r="HYX4" s="67"/>
      <c r="HYY4" s="67"/>
      <c r="HYZ4" s="68"/>
      <c r="HZA4" s="68"/>
      <c r="HZB4" s="68"/>
      <c r="HZC4" s="68"/>
      <c r="HZD4" s="91"/>
      <c r="HZE4" s="67"/>
      <c r="HZF4" s="76"/>
      <c r="HZG4" s="72"/>
      <c r="HZH4" s="72"/>
      <c r="HZI4" s="67"/>
      <c r="HZJ4" s="67"/>
      <c r="HZK4" s="68"/>
      <c r="HZL4" s="68"/>
      <c r="HZM4" s="68"/>
      <c r="HZN4" s="68"/>
      <c r="HZO4" s="67"/>
      <c r="IBO4" s="67"/>
      <c r="IBP4" s="67"/>
      <c r="IBQ4" s="67"/>
      <c r="IBR4" s="39"/>
      <c r="IBS4" s="40"/>
      <c r="IBT4" s="39"/>
      <c r="IBU4" s="67"/>
      <c r="IBV4" s="67"/>
      <c r="IBW4" s="68"/>
      <c r="IBX4" s="68"/>
      <c r="IBY4" s="68"/>
      <c r="IBZ4" s="68"/>
      <c r="ICA4" s="91"/>
      <c r="ICB4" s="67"/>
      <c r="ICC4" s="76"/>
      <c r="ICD4" s="72"/>
      <c r="ICE4" s="72"/>
      <c r="ICF4" s="67"/>
      <c r="ICG4" s="67"/>
      <c r="ICH4" s="68"/>
      <c r="ICI4" s="68"/>
      <c r="ICJ4" s="68"/>
      <c r="ICK4" s="68"/>
      <c r="ICL4" s="67"/>
      <c r="IEL4" s="67"/>
      <c r="IEM4" s="67"/>
      <c r="IEN4" s="67"/>
      <c r="IEO4" s="39"/>
      <c r="IEP4" s="40"/>
      <c r="IEQ4" s="39"/>
      <c r="IER4" s="67"/>
      <c r="IES4" s="67"/>
      <c r="IET4" s="68"/>
      <c r="IEU4" s="68"/>
      <c r="IEV4" s="68"/>
      <c r="IEW4" s="68"/>
      <c r="IEX4" s="91"/>
      <c r="IEY4" s="67"/>
      <c r="IEZ4" s="76"/>
      <c r="IFA4" s="72"/>
      <c r="IFB4" s="72"/>
      <c r="IFC4" s="67"/>
      <c r="IFD4" s="67"/>
      <c r="IFE4" s="68"/>
      <c r="IFF4" s="68"/>
      <c r="IFG4" s="68"/>
      <c r="IFH4" s="68"/>
      <c r="IFI4" s="67"/>
      <c r="IHI4" s="67"/>
      <c r="IHJ4" s="67"/>
      <c r="IHK4" s="67"/>
      <c r="IHL4" s="39"/>
      <c r="IHM4" s="40"/>
      <c r="IHN4" s="39"/>
      <c r="IHO4" s="67"/>
      <c r="IHP4" s="67"/>
      <c r="IHQ4" s="68"/>
      <c r="IHR4" s="68"/>
      <c r="IHS4" s="68"/>
      <c r="IHT4" s="68"/>
      <c r="IHU4" s="91"/>
      <c r="IHV4" s="67"/>
      <c r="IHW4" s="76"/>
      <c r="IHX4" s="72"/>
      <c r="IHY4" s="72"/>
      <c r="IHZ4" s="67"/>
      <c r="IIA4" s="67"/>
      <c r="IIB4" s="68"/>
      <c r="IIC4" s="68"/>
      <c r="IID4" s="68"/>
      <c r="IIE4" s="68"/>
      <c r="IIF4" s="67"/>
      <c r="IKF4" s="67"/>
      <c r="IKG4" s="67"/>
      <c r="IKH4" s="67"/>
      <c r="IKI4" s="39"/>
      <c r="IKJ4" s="40"/>
      <c r="IKK4" s="39"/>
      <c r="IKL4" s="67"/>
      <c r="IKM4" s="67"/>
      <c r="IKN4" s="68"/>
      <c r="IKO4" s="68"/>
      <c r="IKP4" s="68"/>
      <c r="IKQ4" s="68"/>
      <c r="IKR4" s="91"/>
      <c r="IKS4" s="67"/>
      <c r="IKT4" s="76"/>
      <c r="IKU4" s="72"/>
      <c r="IKV4" s="72"/>
      <c r="IKW4" s="67"/>
      <c r="IKX4" s="67"/>
      <c r="IKY4" s="68"/>
      <c r="IKZ4" s="68"/>
      <c r="ILA4" s="68"/>
      <c r="ILB4" s="68"/>
      <c r="ILC4" s="67"/>
      <c r="INC4" s="67"/>
      <c r="IND4" s="67"/>
      <c r="INE4" s="67"/>
      <c r="INF4" s="39"/>
      <c r="ING4" s="40"/>
      <c r="INH4" s="39"/>
      <c r="INI4" s="67"/>
      <c r="INJ4" s="67"/>
      <c r="INK4" s="68"/>
      <c r="INL4" s="68"/>
      <c r="INM4" s="68"/>
      <c r="INN4" s="68"/>
      <c r="INO4" s="91"/>
      <c r="INP4" s="67"/>
      <c r="INQ4" s="76"/>
      <c r="INR4" s="72"/>
      <c r="INS4" s="72"/>
      <c r="INT4" s="67"/>
      <c r="INU4" s="67"/>
      <c r="INV4" s="68"/>
      <c r="INW4" s="68"/>
      <c r="INX4" s="68"/>
      <c r="INY4" s="68"/>
      <c r="INZ4" s="67"/>
      <c r="IPZ4" s="67"/>
      <c r="IQA4" s="67"/>
      <c r="IQB4" s="67"/>
      <c r="IQC4" s="39"/>
      <c r="IQD4" s="40"/>
      <c r="IQE4" s="39"/>
      <c r="IQF4" s="67"/>
      <c r="IQG4" s="67"/>
      <c r="IQH4" s="68"/>
      <c r="IQI4" s="68"/>
      <c r="IQJ4" s="68"/>
      <c r="IQK4" s="68"/>
      <c r="IQL4" s="91"/>
      <c r="IQM4" s="67"/>
      <c r="IQN4" s="76"/>
      <c r="IQO4" s="72"/>
      <c r="IQP4" s="72"/>
      <c r="IQQ4" s="67"/>
      <c r="IQR4" s="67"/>
      <c r="IQS4" s="68"/>
      <c r="IQT4" s="68"/>
      <c r="IQU4" s="68"/>
      <c r="IQV4" s="68"/>
      <c r="IQW4" s="67"/>
      <c r="ISW4" s="67"/>
      <c r="ISX4" s="67"/>
      <c r="ISY4" s="67"/>
      <c r="ISZ4" s="39"/>
      <c r="ITA4" s="40"/>
      <c r="ITB4" s="39"/>
      <c r="ITC4" s="67"/>
      <c r="ITD4" s="67"/>
      <c r="ITE4" s="68"/>
      <c r="ITF4" s="68"/>
      <c r="ITG4" s="68"/>
      <c r="ITH4" s="68"/>
      <c r="ITI4" s="91"/>
      <c r="ITJ4" s="67"/>
      <c r="ITK4" s="76"/>
      <c r="ITL4" s="72"/>
      <c r="ITM4" s="72"/>
      <c r="ITN4" s="67"/>
      <c r="ITO4" s="67"/>
      <c r="ITP4" s="68"/>
      <c r="ITQ4" s="68"/>
      <c r="ITR4" s="68"/>
      <c r="ITS4" s="68"/>
      <c r="ITT4" s="67"/>
      <c r="IVT4" s="67"/>
      <c r="IVU4" s="67"/>
      <c r="IVV4" s="67"/>
      <c r="IVW4" s="39"/>
      <c r="IVX4" s="40"/>
      <c r="IVY4" s="39"/>
      <c r="IVZ4" s="67"/>
      <c r="IWA4" s="67"/>
      <c r="IWB4" s="68"/>
      <c r="IWC4" s="68"/>
      <c r="IWD4" s="68"/>
      <c r="IWE4" s="68"/>
      <c r="IWF4" s="91"/>
      <c r="IWG4" s="67"/>
      <c r="IWH4" s="76"/>
      <c r="IWI4" s="72"/>
      <c r="IWJ4" s="72"/>
      <c r="IWK4" s="67"/>
      <c r="IWL4" s="67"/>
      <c r="IWM4" s="68"/>
      <c r="IWN4" s="68"/>
      <c r="IWO4" s="68"/>
      <c r="IWP4" s="68"/>
      <c r="IWQ4" s="67"/>
      <c r="IYQ4" s="67"/>
      <c r="IYR4" s="67"/>
      <c r="IYS4" s="67"/>
      <c r="IYT4" s="39"/>
      <c r="IYU4" s="40"/>
      <c r="IYV4" s="39"/>
      <c r="IYW4" s="67"/>
      <c r="IYX4" s="67"/>
      <c r="IYY4" s="68"/>
      <c r="IYZ4" s="68"/>
      <c r="IZA4" s="68"/>
      <c r="IZB4" s="68"/>
      <c r="IZC4" s="91"/>
      <c r="IZD4" s="67"/>
      <c r="IZE4" s="76"/>
      <c r="IZF4" s="72"/>
      <c r="IZG4" s="72"/>
      <c r="IZH4" s="67"/>
      <c r="IZI4" s="67"/>
      <c r="IZJ4" s="68"/>
      <c r="IZK4" s="68"/>
      <c r="IZL4" s="68"/>
      <c r="IZM4" s="68"/>
      <c r="IZN4" s="67"/>
      <c r="JBN4" s="67"/>
      <c r="JBO4" s="67"/>
      <c r="JBP4" s="67"/>
      <c r="JBQ4" s="39"/>
      <c r="JBR4" s="40"/>
      <c r="JBS4" s="39"/>
      <c r="JBT4" s="67"/>
      <c r="JBU4" s="67"/>
      <c r="JBV4" s="68"/>
      <c r="JBW4" s="68"/>
      <c r="JBX4" s="68"/>
      <c r="JBY4" s="68"/>
      <c r="JBZ4" s="91"/>
      <c r="JCA4" s="67"/>
      <c r="JCB4" s="76"/>
      <c r="JCC4" s="72"/>
      <c r="JCD4" s="72"/>
      <c r="JCE4" s="67"/>
      <c r="JCF4" s="67"/>
      <c r="JCG4" s="68"/>
      <c r="JCH4" s="68"/>
      <c r="JCI4" s="68"/>
      <c r="JCJ4" s="68"/>
      <c r="JCK4" s="67"/>
      <c r="JEK4" s="67"/>
      <c r="JEL4" s="67"/>
      <c r="JEM4" s="67"/>
      <c r="JEN4" s="39"/>
      <c r="JEO4" s="40"/>
      <c r="JEP4" s="39"/>
      <c r="JEQ4" s="67"/>
      <c r="JER4" s="67"/>
      <c r="JES4" s="68"/>
      <c r="JET4" s="68"/>
      <c r="JEU4" s="68"/>
      <c r="JEV4" s="68"/>
      <c r="JEW4" s="91"/>
      <c r="JEX4" s="67"/>
      <c r="JEY4" s="76"/>
      <c r="JEZ4" s="72"/>
      <c r="JFA4" s="72"/>
      <c r="JFB4" s="67"/>
      <c r="JFC4" s="67"/>
      <c r="JFD4" s="68"/>
      <c r="JFE4" s="68"/>
      <c r="JFF4" s="68"/>
      <c r="JFG4" s="68"/>
      <c r="JFH4" s="67"/>
      <c r="JHH4" s="67"/>
      <c r="JHI4" s="67"/>
      <c r="JHJ4" s="67"/>
      <c r="JHK4" s="39"/>
      <c r="JHL4" s="40"/>
      <c r="JHM4" s="39"/>
      <c r="JHN4" s="67"/>
      <c r="JHO4" s="67"/>
      <c r="JHP4" s="68"/>
      <c r="JHQ4" s="68"/>
      <c r="JHR4" s="68"/>
      <c r="JHS4" s="68"/>
      <c r="JHT4" s="91"/>
      <c r="JHU4" s="67"/>
      <c r="JHV4" s="76"/>
      <c r="JHW4" s="72"/>
      <c r="JHX4" s="72"/>
      <c r="JHY4" s="67"/>
      <c r="JHZ4" s="67"/>
      <c r="JIA4" s="68"/>
      <c r="JIB4" s="68"/>
      <c r="JIC4" s="68"/>
      <c r="JID4" s="68"/>
      <c r="JIE4" s="67"/>
      <c r="JKE4" s="67"/>
      <c r="JKF4" s="67"/>
      <c r="JKG4" s="67"/>
      <c r="JKH4" s="39"/>
      <c r="JKI4" s="40"/>
      <c r="JKJ4" s="39"/>
      <c r="JKK4" s="67"/>
      <c r="JKL4" s="67"/>
      <c r="JKM4" s="68"/>
      <c r="JKN4" s="68"/>
      <c r="JKO4" s="68"/>
      <c r="JKP4" s="68"/>
      <c r="JKQ4" s="91"/>
      <c r="JKR4" s="67"/>
      <c r="JKS4" s="76"/>
      <c r="JKT4" s="72"/>
      <c r="JKU4" s="72"/>
      <c r="JKV4" s="67"/>
      <c r="JKW4" s="67"/>
      <c r="JKX4" s="68"/>
      <c r="JKY4" s="68"/>
      <c r="JKZ4" s="68"/>
      <c r="JLA4" s="68"/>
      <c r="JLB4" s="67"/>
      <c r="JNB4" s="67"/>
      <c r="JNC4" s="67"/>
      <c r="JND4" s="67"/>
      <c r="JNE4" s="39"/>
      <c r="JNF4" s="40"/>
      <c r="JNG4" s="39"/>
      <c r="JNH4" s="67"/>
      <c r="JNI4" s="67"/>
      <c r="JNJ4" s="68"/>
      <c r="JNK4" s="68"/>
      <c r="JNL4" s="68"/>
      <c r="JNM4" s="68"/>
      <c r="JNN4" s="91"/>
      <c r="JNO4" s="67"/>
      <c r="JNP4" s="76"/>
      <c r="JNQ4" s="72"/>
      <c r="JNR4" s="72"/>
      <c r="JNS4" s="67"/>
      <c r="JNT4" s="67"/>
      <c r="JNU4" s="68"/>
      <c r="JNV4" s="68"/>
      <c r="JNW4" s="68"/>
      <c r="JNX4" s="68"/>
      <c r="JNY4" s="67"/>
      <c r="JPY4" s="67"/>
      <c r="JPZ4" s="67"/>
      <c r="JQA4" s="67"/>
      <c r="JQB4" s="39"/>
      <c r="JQC4" s="40"/>
      <c r="JQD4" s="39"/>
      <c r="JQE4" s="67"/>
      <c r="JQF4" s="67"/>
      <c r="JQG4" s="68"/>
      <c r="JQH4" s="68"/>
      <c r="JQI4" s="68"/>
      <c r="JQJ4" s="68"/>
      <c r="JQK4" s="91"/>
      <c r="JQL4" s="67"/>
      <c r="JQM4" s="76"/>
      <c r="JQN4" s="72"/>
      <c r="JQO4" s="72"/>
      <c r="JQP4" s="67"/>
      <c r="JQQ4" s="67"/>
      <c r="JQR4" s="68"/>
      <c r="JQS4" s="68"/>
      <c r="JQT4" s="68"/>
      <c r="JQU4" s="68"/>
      <c r="JQV4" s="67"/>
      <c r="JSV4" s="67"/>
      <c r="JSW4" s="67"/>
      <c r="JSX4" s="67"/>
      <c r="JSY4" s="39"/>
      <c r="JSZ4" s="40"/>
      <c r="JTA4" s="39"/>
      <c r="JTB4" s="67"/>
      <c r="JTC4" s="67"/>
      <c r="JTD4" s="68"/>
      <c r="JTE4" s="68"/>
      <c r="JTF4" s="68"/>
      <c r="JTG4" s="68"/>
      <c r="JTH4" s="91"/>
      <c r="JTI4" s="67"/>
      <c r="JTJ4" s="76"/>
      <c r="JTK4" s="72"/>
      <c r="JTL4" s="72"/>
      <c r="JTM4" s="67"/>
      <c r="JTN4" s="67"/>
      <c r="JTO4" s="68"/>
      <c r="JTP4" s="68"/>
      <c r="JTQ4" s="68"/>
      <c r="JTR4" s="68"/>
      <c r="JTS4" s="67"/>
      <c r="JVS4" s="67"/>
      <c r="JVT4" s="67"/>
      <c r="JVU4" s="67"/>
      <c r="JVV4" s="39"/>
      <c r="JVW4" s="40"/>
      <c r="JVX4" s="39"/>
      <c r="JVY4" s="67"/>
      <c r="JVZ4" s="67"/>
      <c r="JWA4" s="68"/>
      <c r="JWB4" s="68"/>
      <c r="JWC4" s="68"/>
      <c r="JWD4" s="68"/>
      <c r="JWE4" s="91"/>
      <c r="JWF4" s="67"/>
      <c r="JWG4" s="76"/>
      <c r="JWH4" s="72"/>
      <c r="JWI4" s="72"/>
      <c r="JWJ4" s="67"/>
      <c r="JWK4" s="67"/>
      <c r="JWL4" s="68"/>
      <c r="JWM4" s="68"/>
      <c r="JWN4" s="68"/>
      <c r="JWO4" s="68"/>
      <c r="JWP4" s="67"/>
      <c r="JYP4" s="67"/>
      <c r="JYQ4" s="67"/>
      <c r="JYR4" s="67"/>
      <c r="JYS4" s="39"/>
      <c r="JYT4" s="40"/>
      <c r="JYU4" s="39"/>
      <c r="JYV4" s="67"/>
      <c r="JYW4" s="67"/>
      <c r="JYX4" s="68"/>
      <c r="JYY4" s="68"/>
      <c r="JYZ4" s="68"/>
      <c r="JZA4" s="68"/>
      <c r="JZB4" s="91"/>
      <c r="JZC4" s="67"/>
      <c r="JZD4" s="76"/>
      <c r="JZE4" s="72"/>
      <c r="JZF4" s="72"/>
      <c r="JZG4" s="67"/>
      <c r="JZH4" s="67"/>
      <c r="JZI4" s="68"/>
      <c r="JZJ4" s="68"/>
      <c r="JZK4" s="68"/>
      <c r="JZL4" s="68"/>
      <c r="JZM4" s="67"/>
      <c r="KBM4" s="67"/>
      <c r="KBN4" s="67"/>
      <c r="KBO4" s="67"/>
      <c r="KBP4" s="39"/>
      <c r="KBQ4" s="40"/>
      <c r="KBR4" s="39"/>
      <c r="KBS4" s="67"/>
      <c r="KBT4" s="67"/>
      <c r="KBU4" s="68"/>
      <c r="KBV4" s="68"/>
      <c r="KBW4" s="68"/>
      <c r="KBX4" s="68"/>
      <c r="KBY4" s="91"/>
      <c r="KBZ4" s="67"/>
      <c r="KCA4" s="76"/>
      <c r="KCB4" s="72"/>
      <c r="KCC4" s="72"/>
      <c r="KCD4" s="67"/>
      <c r="KCE4" s="67"/>
      <c r="KCF4" s="68"/>
      <c r="KCG4" s="68"/>
      <c r="KCH4" s="68"/>
      <c r="KCI4" s="68"/>
      <c r="KCJ4" s="67"/>
      <c r="KEJ4" s="67"/>
      <c r="KEK4" s="67"/>
      <c r="KEL4" s="67"/>
      <c r="KEM4" s="39"/>
      <c r="KEN4" s="40"/>
      <c r="KEO4" s="39"/>
      <c r="KEP4" s="67"/>
      <c r="KEQ4" s="67"/>
      <c r="KER4" s="68"/>
      <c r="KES4" s="68"/>
      <c r="KET4" s="68"/>
      <c r="KEU4" s="68"/>
      <c r="KEV4" s="91"/>
      <c r="KEW4" s="67"/>
      <c r="KEX4" s="76"/>
      <c r="KEY4" s="72"/>
      <c r="KEZ4" s="72"/>
      <c r="KFA4" s="67"/>
      <c r="KFB4" s="67"/>
      <c r="KFC4" s="68"/>
      <c r="KFD4" s="68"/>
      <c r="KFE4" s="68"/>
      <c r="KFF4" s="68"/>
      <c r="KFG4" s="67"/>
      <c r="KHG4" s="67"/>
      <c r="KHH4" s="67"/>
      <c r="KHI4" s="67"/>
      <c r="KHJ4" s="39"/>
      <c r="KHK4" s="40"/>
      <c r="KHL4" s="39"/>
      <c r="KHM4" s="67"/>
      <c r="KHN4" s="67"/>
      <c r="KHO4" s="68"/>
      <c r="KHP4" s="68"/>
      <c r="KHQ4" s="68"/>
      <c r="KHR4" s="68"/>
      <c r="KHS4" s="91"/>
      <c r="KHT4" s="67"/>
      <c r="KHU4" s="76"/>
      <c r="KHV4" s="72"/>
      <c r="KHW4" s="72"/>
      <c r="KHX4" s="67"/>
      <c r="KHY4" s="67"/>
      <c r="KHZ4" s="68"/>
      <c r="KIA4" s="68"/>
      <c r="KIB4" s="68"/>
      <c r="KIC4" s="68"/>
      <c r="KID4" s="67"/>
      <c r="KKD4" s="67"/>
      <c r="KKE4" s="67"/>
      <c r="KKF4" s="67"/>
      <c r="KKG4" s="39"/>
      <c r="KKH4" s="40"/>
      <c r="KKI4" s="39"/>
      <c r="KKJ4" s="67"/>
      <c r="KKK4" s="67"/>
      <c r="KKL4" s="68"/>
      <c r="KKM4" s="68"/>
      <c r="KKN4" s="68"/>
      <c r="KKO4" s="68"/>
      <c r="KKP4" s="91"/>
      <c r="KKQ4" s="67"/>
      <c r="KKR4" s="76"/>
      <c r="KKS4" s="72"/>
      <c r="KKT4" s="72"/>
      <c r="KKU4" s="67"/>
      <c r="KKV4" s="67"/>
      <c r="KKW4" s="68"/>
      <c r="KKX4" s="68"/>
      <c r="KKY4" s="68"/>
      <c r="KKZ4" s="68"/>
      <c r="KLA4" s="67"/>
      <c r="KNA4" s="67"/>
      <c r="KNB4" s="67"/>
      <c r="KNC4" s="67"/>
      <c r="KND4" s="39"/>
      <c r="KNE4" s="40"/>
      <c r="KNF4" s="39"/>
      <c r="KNG4" s="67"/>
      <c r="KNH4" s="67"/>
      <c r="KNI4" s="68"/>
      <c r="KNJ4" s="68"/>
      <c r="KNK4" s="68"/>
      <c r="KNL4" s="68"/>
      <c r="KNM4" s="91"/>
      <c r="KNN4" s="67"/>
      <c r="KNO4" s="76"/>
      <c r="KNP4" s="72"/>
      <c r="KNQ4" s="72"/>
      <c r="KNR4" s="67"/>
      <c r="KNS4" s="67"/>
      <c r="KNT4" s="68"/>
      <c r="KNU4" s="68"/>
      <c r="KNV4" s="68"/>
      <c r="KNW4" s="68"/>
      <c r="KNX4" s="67"/>
      <c r="KPX4" s="67"/>
      <c r="KPY4" s="67"/>
      <c r="KPZ4" s="67"/>
      <c r="KQA4" s="39"/>
      <c r="KQB4" s="40"/>
      <c r="KQC4" s="39"/>
      <c r="KQD4" s="67"/>
      <c r="KQE4" s="67"/>
      <c r="KQF4" s="68"/>
      <c r="KQG4" s="68"/>
      <c r="KQH4" s="68"/>
      <c r="KQI4" s="68"/>
      <c r="KQJ4" s="91"/>
      <c r="KQK4" s="67"/>
      <c r="KQL4" s="76"/>
      <c r="KQM4" s="72"/>
      <c r="KQN4" s="72"/>
      <c r="KQO4" s="67"/>
      <c r="KQP4" s="67"/>
      <c r="KQQ4" s="68"/>
      <c r="KQR4" s="68"/>
      <c r="KQS4" s="68"/>
      <c r="KQT4" s="68"/>
      <c r="KQU4" s="67"/>
      <c r="KSU4" s="67"/>
      <c r="KSV4" s="67"/>
      <c r="KSW4" s="67"/>
      <c r="KSX4" s="39"/>
      <c r="KSY4" s="40"/>
      <c r="KSZ4" s="39"/>
      <c r="KTA4" s="67"/>
      <c r="KTB4" s="67"/>
      <c r="KTC4" s="68"/>
      <c r="KTD4" s="68"/>
      <c r="KTE4" s="68"/>
      <c r="KTF4" s="68"/>
      <c r="KTG4" s="91"/>
      <c r="KTH4" s="67"/>
      <c r="KTI4" s="76"/>
      <c r="KTJ4" s="72"/>
      <c r="KTK4" s="72"/>
      <c r="KTL4" s="67"/>
      <c r="KTM4" s="67"/>
      <c r="KTN4" s="68"/>
      <c r="KTO4" s="68"/>
      <c r="KTP4" s="68"/>
      <c r="KTQ4" s="68"/>
      <c r="KTR4" s="67"/>
      <c r="KVR4" s="67"/>
      <c r="KVS4" s="67"/>
      <c r="KVT4" s="67"/>
      <c r="KVU4" s="39"/>
      <c r="KVV4" s="40"/>
      <c r="KVW4" s="39"/>
      <c r="KVX4" s="67"/>
      <c r="KVY4" s="67"/>
      <c r="KVZ4" s="68"/>
      <c r="KWA4" s="68"/>
      <c r="KWB4" s="68"/>
      <c r="KWC4" s="68"/>
      <c r="KWD4" s="91"/>
      <c r="KWE4" s="67"/>
      <c r="KWF4" s="76"/>
      <c r="KWG4" s="72"/>
      <c r="KWH4" s="72"/>
      <c r="KWI4" s="67"/>
      <c r="KWJ4" s="67"/>
      <c r="KWK4" s="68"/>
      <c r="KWL4" s="68"/>
      <c r="KWM4" s="68"/>
      <c r="KWN4" s="68"/>
      <c r="KWO4" s="67"/>
      <c r="KYO4" s="67"/>
      <c r="KYP4" s="67"/>
      <c r="KYQ4" s="67"/>
      <c r="KYR4" s="39"/>
      <c r="KYS4" s="40"/>
      <c r="KYT4" s="39"/>
      <c r="KYU4" s="67"/>
      <c r="KYV4" s="67"/>
      <c r="KYW4" s="68"/>
      <c r="KYX4" s="68"/>
      <c r="KYY4" s="68"/>
      <c r="KYZ4" s="68"/>
      <c r="KZA4" s="91"/>
      <c r="KZB4" s="67"/>
      <c r="KZC4" s="76"/>
      <c r="KZD4" s="72"/>
      <c r="KZE4" s="72"/>
      <c r="KZF4" s="67"/>
      <c r="KZG4" s="67"/>
      <c r="KZH4" s="68"/>
      <c r="KZI4" s="68"/>
      <c r="KZJ4" s="68"/>
      <c r="KZK4" s="68"/>
      <c r="KZL4" s="67"/>
      <c r="LBL4" s="67"/>
      <c r="LBM4" s="67"/>
      <c r="LBN4" s="67"/>
      <c r="LBO4" s="39"/>
      <c r="LBP4" s="40"/>
      <c r="LBQ4" s="39"/>
      <c r="LBR4" s="67"/>
      <c r="LBS4" s="67"/>
      <c r="LBT4" s="68"/>
      <c r="LBU4" s="68"/>
      <c r="LBV4" s="68"/>
      <c r="LBW4" s="68"/>
      <c r="LBX4" s="91"/>
      <c r="LBY4" s="67"/>
      <c r="LBZ4" s="76"/>
      <c r="LCA4" s="72"/>
      <c r="LCB4" s="72"/>
      <c r="LCC4" s="67"/>
      <c r="LCD4" s="67"/>
      <c r="LCE4" s="68"/>
      <c r="LCF4" s="68"/>
      <c r="LCG4" s="68"/>
      <c r="LCH4" s="68"/>
      <c r="LCI4" s="67"/>
      <c r="LEI4" s="67"/>
      <c r="LEJ4" s="67"/>
      <c r="LEK4" s="67"/>
      <c r="LEL4" s="39"/>
      <c r="LEM4" s="40"/>
      <c r="LEN4" s="39"/>
      <c r="LEO4" s="67"/>
      <c r="LEP4" s="67"/>
      <c r="LEQ4" s="68"/>
      <c r="LER4" s="68"/>
      <c r="LES4" s="68"/>
      <c r="LET4" s="68"/>
      <c r="LEU4" s="91"/>
      <c r="LEV4" s="67"/>
      <c r="LEW4" s="76"/>
      <c r="LEX4" s="72"/>
      <c r="LEY4" s="72"/>
      <c r="LEZ4" s="67"/>
      <c r="LFA4" s="67"/>
      <c r="LFB4" s="68"/>
      <c r="LFC4" s="68"/>
      <c r="LFD4" s="68"/>
      <c r="LFE4" s="68"/>
      <c r="LFF4" s="67"/>
      <c r="LHF4" s="67"/>
      <c r="LHG4" s="67"/>
      <c r="LHH4" s="67"/>
      <c r="LHI4" s="39"/>
      <c r="LHJ4" s="40"/>
      <c r="LHK4" s="39"/>
      <c r="LHL4" s="67"/>
      <c r="LHM4" s="67"/>
      <c r="LHN4" s="68"/>
      <c r="LHO4" s="68"/>
      <c r="LHP4" s="68"/>
      <c r="LHQ4" s="68"/>
      <c r="LHR4" s="91"/>
      <c r="LHS4" s="67"/>
      <c r="LHT4" s="76"/>
      <c r="LHU4" s="72"/>
      <c r="LHV4" s="72"/>
      <c r="LHW4" s="67"/>
      <c r="LHX4" s="67"/>
      <c r="LHY4" s="68"/>
      <c r="LHZ4" s="68"/>
      <c r="LIA4" s="68"/>
      <c r="LIB4" s="68"/>
      <c r="LIC4" s="67"/>
      <c r="LKC4" s="67"/>
      <c r="LKD4" s="67"/>
      <c r="LKE4" s="67"/>
      <c r="LKF4" s="39"/>
      <c r="LKG4" s="40"/>
      <c r="LKH4" s="39"/>
      <c r="LKI4" s="67"/>
      <c r="LKJ4" s="67"/>
      <c r="LKK4" s="68"/>
      <c r="LKL4" s="68"/>
      <c r="LKM4" s="68"/>
      <c r="LKN4" s="68"/>
      <c r="LKO4" s="91"/>
      <c r="LKP4" s="67"/>
      <c r="LKQ4" s="76"/>
      <c r="LKR4" s="72"/>
      <c r="LKS4" s="72"/>
      <c r="LKT4" s="67"/>
      <c r="LKU4" s="67"/>
      <c r="LKV4" s="68"/>
      <c r="LKW4" s="68"/>
      <c r="LKX4" s="68"/>
      <c r="LKY4" s="68"/>
      <c r="LKZ4" s="67"/>
      <c r="LMZ4" s="67"/>
      <c r="LNA4" s="67"/>
      <c r="LNB4" s="67"/>
      <c r="LNC4" s="39"/>
      <c r="LND4" s="40"/>
      <c r="LNE4" s="39"/>
      <c r="LNF4" s="67"/>
      <c r="LNG4" s="67"/>
      <c r="LNH4" s="68"/>
      <c r="LNI4" s="68"/>
      <c r="LNJ4" s="68"/>
      <c r="LNK4" s="68"/>
      <c r="LNL4" s="91"/>
      <c r="LNM4" s="67"/>
      <c r="LNN4" s="76"/>
      <c r="LNO4" s="72"/>
      <c r="LNP4" s="72"/>
      <c r="LNQ4" s="67"/>
      <c r="LNR4" s="67"/>
      <c r="LNS4" s="68"/>
      <c r="LNT4" s="68"/>
      <c r="LNU4" s="68"/>
      <c r="LNV4" s="68"/>
      <c r="LNW4" s="67"/>
      <c r="LPW4" s="67"/>
      <c r="LPX4" s="67"/>
      <c r="LPY4" s="67"/>
      <c r="LPZ4" s="39"/>
      <c r="LQA4" s="40"/>
      <c r="LQB4" s="39"/>
      <c r="LQC4" s="67"/>
      <c r="LQD4" s="67"/>
      <c r="LQE4" s="68"/>
      <c r="LQF4" s="68"/>
      <c r="LQG4" s="68"/>
      <c r="LQH4" s="68"/>
      <c r="LQI4" s="91"/>
      <c r="LQJ4" s="67"/>
      <c r="LQK4" s="76"/>
      <c r="LQL4" s="72"/>
      <c r="LQM4" s="72"/>
      <c r="LQN4" s="67"/>
      <c r="LQO4" s="67"/>
      <c r="LQP4" s="68"/>
      <c r="LQQ4" s="68"/>
      <c r="LQR4" s="68"/>
      <c r="LQS4" s="68"/>
      <c r="LQT4" s="67"/>
      <c r="LST4" s="67"/>
      <c r="LSU4" s="67"/>
      <c r="LSV4" s="67"/>
      <c r="LSW4" s="39"/>
      <c r="LSX4" s="40"/>
      <c r="LSY4" s="39"/>
      <c r="LSZ4" s="67"/>
      <c r="LTA4" s="67"/>
      <c r="LTB4" s="68"/>
      <c r="LTC4" s="68"/>
      <c r="LTD4" s="68"/>
      <c r="LTE4" s="68"/>
      <c r="LTF4" s="91"/>
      <c r="LTG4" s="67"/>
      <c r="LTH4" s="76"/>
      <c r="LTI4" s="72"/>
      <c r="LTJ4" s="72"/>
      <c r="LTK4" s="67"/>
      <c r="LTL4" s="67"/>
      <c r="LTM4" s="68"/>
      <c r="LTN4" s="68"/>
      <c r="LTO4" s="68"/>
      <c r="LTP4" s="68"/>
      <c r="LTQ4" s="67"/>
      <c r="LVQ4" s="67"/>
      <c r="LVR4" s="67"/>
      <c r="LVS4" s="67"/>
      <c r="LVT4" s="39"/>
      <c r="LVU4" s="40"/>
      <c r="LVV4" s="39"/>
      <c r="LVW4" s="67"/>
      <c r="LVX4" s="67"/>
      <c r="LVY4" s="68"/>
      <c r="LVZ4" s="68"/>
      <c r="LWA4" s="68"/>
      <c r="LWB4" s="68"/>
      <c r="LWC4" s="91"/>
      <c r="LWD4" s="67"/>
      <c r="LWE4" s="76"/>
      <c r="LWF4" s="72"/>
      <c r="LWG4" s="72"/>
      <c r="LWH4" s="67"/>
      <c r="LWI4" s="67"/>
      <c r="LWJ4" s="68"/>
      <c r="LWK4" s="68"/>
      <c r="LWL4" s="68"/>
      <c r="LWM4" s="68"/>
      <c r="LWN4" s="67"/>
      <c r="LYN4" s="67"/>
      <c r="LYO4" s="67"/>
      <c r="LYP4" s="67"/>
      <c r="LYQ4" s="39"/>
      <c r="LYR4" s="40"/>
      <c r="LYS4" s="39"/>
      <c r="LYT4" s="67"/>
      <c r="LYU4" s="67"/>
      <c r="LYV4" s="68"/>
      <c r="LYW4" s="68"/>
      <c r="LYX4" s="68"/>
      <c r="LYY4" s="68"/>
      <c r="LYZ4" s="91"/>
      <c r="LZA4" s="67"/>
      <c r="LZB4" s="76"/>
      <c r="LZC4" s="72"/>
      <c r="LZD4" s="72"/>
      <c r="LZE4" s="67"/>
      <c r="LZF4" s="67"/>
      <c r="LZG4" s="68"/>
      <c r="LZH4" s="68"/>
      <c r="LZI4" s="68"/>
      <c r="LZJ4" s="68"/>
      <c r="LZK4" s="67"/>
      <c r="MBK4" s="67"/>
      <c r="MBL4" s="67"/>
      <c r="MBM4" s="67"/>
      <c r="MBN4" s="39"/>
      <c r="MBO4" s="40"/>
      <c r="MBP4" s="39"/>
      <c r="MBQ4" s="67"/>
      <c r="MBR4" s="67"/>
      <c r="MBS4" s="68"/>
      <c r="MBT4" s="68"/>
      <c r="MBU4" s="68"/>
      <c r="MBV4" s="68"/>
      <c r="MBW4" s="91"/>
      <c r="MBX4" s="67"/>
      <c r="MBY4" s="76"/>
      <c r="MBZ4" s="72"/>
      <c r="MCA4" s="72"/>
      <c r="MCB4" s="67"/>
      <c r="MCC4" s="67"/>
      <c r="MCD4" s="68"/>
      <c r="MCE4" s="68"/>
      <c r="MCF4" s="68"/>
      <c r="MCG4" s="68"/>
      <c r="MCH4" s="67"/>
      <c r="MEH4" s="67"/>
      <c r="MEI4" s="67"/>
      <c r="MEJ4" s="67"/>
      <c r="MEK4" s="39"/>
      <c r="MEL4" s="40"/>
      <c r="MEM4" s="39"/>
      <c r="MEN4" s="67"/>
      <c r="MEO4" s="67"/>
      <c r="MEP4" s="68"/>
      <c r="MEQ4" s="68"/>
      <c r="MER4" s="68"/>
      <c r="MES4" s="68"/>
      <c r="MET4" s="91"/>
      <c r="MEU4" s="67"/>
      <c r="MEV4" s="76"/>
      <c r="MEW4" s="72"/>
      <c r="MEX4" s="72"/>
      <c r="MEY4" s="67"/>
      <c r="MEZ4" s="67"/>
      <c r="MFA4" s="68"/>
      <c r="MFB4" s="68"/>
      <c r="MFC4" s="68"/>
      <c r="MFD4" s="68"/>
      <c r="MFE4" s="67"/>
      <c r="MHE4" s="67"/>
      <c r="MHF4" s="67"/>
      <c r="MHG4" s="67"/>
      <c r="MHH4" s="39"/>
      <c r="MHI4" s="40"/>
      <c r="MHJ4" s="39"/>
      <c r="MHK4" s="67"/>
      <c r="MHL4" s="67"/>
      <c r="MHM4" s="68"/>
      <c r="MHN4" s="68"/>
      <c r="MHO4" s="68"/>
      <c r="MHP4" s="68"/>
      <c r="MHQ4" s="91"/>
      <c r="MHR4" s="67"/>
      <c r="MHS4" s="76"/>
      <c r="MHT4" s="72"/>
      <c r="MHU4" s="72"/>
      <c r="MHV4" s="67"/>
      <c r="MHW4" s="67"/>
      <c r="MHX4" s="68"/>
      <c r="MHY4" s="68"/>
      <c r="MHZ4" s="68"/>
      <c r="MIA4" s="68"/>
      <c r="MIB4" s="67"/>
      <c r="MKB4" s="67"/>
      <c r="MKC4" s="67"/>
      <c r="MKD4" s="67"/>
      <c r="MKE4" s="39"/>
      <c r="MKF4" s="40"/>
      <c r="MKG4" s="39"/>
      <c r="MKH4" s="67"/>
      <c r="MKI4" s="67"/>
      <c r="MKJ4" s="68"/>
      <c r="MKK4" s="68"/>
      <c r="MKL4" s="68"/>
      <c r="MKM4" s="68"/>
      <c r="MKN4" s="91"/>
      <c r="MKO4" s="67"/>
      <c r="MKP4" s="76"/>
      <c r="MKQ4" s="72"/>
      <c r="MKR4" s="72"/>
      <c r="MKS4" s="67"/>
      <c r="MKT4" s="67"/>
      <c r="MKU4" s="68"/>
      <c r="MKV4" s="68"/>
      <c r="MKW4" s="68"/>
      <c r="MKX4" s="68"/>
      <c r="MKY4" s="67"/>
      <c r="MMY4" s="67"/>
      <c r="MMZ4" s="67"/>
      <c r="MNA4" s="67"/>
      <c r="MNB4" s="39"/>
      <c r="MNC4" s="40"/>
      <c r="MND4" s="39"/>
      <c r="MNE4" s="67"/>
      <c r="MNF4" s="67"/>
      <c r="MNG4" s="68"/>
      <c r="MNH4" s="68"/>
      <c r="MNI4" s="68"/>
      <c r="MNJ4" s="68"/>
      <c r="MNK4" s="91"/>
      <c r="MNL4" s="67"/>
      <c r="MNM4" s="76"/>
      <c r="MNN4" s="72"/>
      <c r="MNO4" s="72"/>
      <c r="MNP4" s="67"/>
      <c r="MNQ4" s="67"/>
      <c r="MNR4" s="68"/>
      <c r="MNS4" s="68"/>
      <c r="MNT4" s="68"/>
      <c r="MNU4" s="68"/>
      <c r="MNV4" s="67"/>
      <c r="MPV4" s="67"/>
      <c r="MPW4" s="67"/>
      <c r="MPX4" s="67"/>
      <c r="MPY4" s="39"/>
      <c r="MPZ4" s="40"/>
      <c r="MQA4" s="39"/>
      <c r="MQB4" s="67"/>
      <c r="MQC4" s="67"/>
      <c r="MQD4" s="68"/>
      <c r="MQE4" s="68"/>
      <c r="MQF4" s="68"/>
      <c r="MQG4" s="68"/>
      <c r="MQH4" s="91"/>
      <c r="MQI4" s="67"/>
      <c r="MQJ4" s="76"/>
      <c r="MQK4" s="72"/>
      <c r="MQL4" s="72"/>
      <c r="MQM4" s="67"/>
      <c r="MQN4" s="67"/>
      <c r="MQO4" s="68"/>
      <c r="MQP4" s="68"/>
      <c r="MQQ4" s="68"/>
      <c r="MQR4" s="68"/>
      <c r="MQS4" s="67"/>
      <c r="MSS4" s="67"/>
      <c r="MST4" s="67"/>
      <c r="MSU4" s="67"/>
      <c r="MSV4" s="39"/>
      <c r="MSW4" s="40"/>
      <c r="MSX4" s="39"/>
      <c r="MSY4" s="67"/>
      <c r="MSZ4" s="67"/>
      <c r="MTA4" s="68"/>
      <c r="MTB4" s="68"/>
      <c r="MTC4" s="68"/>
      <c r="MTD4" s="68"/>
      <c r="MTE4" s="91"/>
      <c r="MTF4" s="67"/>
      <c r="MTG4" s="76"/>
      <c r="MTH4" s="72"/>
      <c r="MTI4" s="72"/>
      <c r="MTJ4" s="67"/>
      <c r="MTK4" s="67"/>
      <c r="MTL4" s="68"/>
      <c r="MTM4" s="68"/>
      <c r="MTN4" s="68"/>
      <c r="MTO4" s="68"/>
      <c r="MTP4" s="67"/>
      <c r="MVP4" s="67"/>
      <c r="MVQ4" s="67"/>
      <c r="MVR4" s="67"/>
      <c r="MVS4" s="39"/>
      <c r="MVT4" s="40"/>
      <c r="MVU4" s="39"/>
      <c r="MVV4" s="67"/>
      <c r="MVW4" s="67"/>
      <c r="MVX4" s="68"/>
      <c r="MVY4" s="68"/>
      <c r="MVZ4" s="68"/>
      <c r="MWA4" s="68"/>
      <c r="MWB4" s="91"/>
      <c r="MWC4" s="67"/>
      <c r="MWD4" s="76"/>
      <c r="MWE4" s="72"/>
      <c r="MWF4" s="72"/>
      <c r="MWG4" s="67"/>
      <c r="MWH4" s="67"/>
      <c r="MWI4" s="68"/>
      <c r="MWJ4" s="68"/>
      <c r="MWK4" s="68"/>
      <c r="MWL4" s="68"/>
      <c r="MWM4" s="67"/>
      <c r="MYM4" s="67"/>
      <c r="MYN4" s="67"/>
      <c r="MYO4" s="67"/>
      <c r="MYP4" s="39"/>
      <c r="MYQ4" s="40"/>
      <c r="MYR4" s="39"/>
      <c r="MYS4" s="67"/>
      <c r="MYT4" s="67"/>
      <c r="MYU4" s="68"/>
      <c r="MYV4" s="68"/>
      <c r="MYW4" s="68"/>
      <c r="MYX4" s="68"/>
      <c r="MYY4" s="91"/>
      <c r="MYZ4" s="67"/>
      <c r="MZA4" s="76"/>
      <c r="MZB4" s="72"/>
      <c r="MZC4" s="72"/>
      <c r="MZD4" s="67"/>
      <c r="MZE4" s="67"/>
      <c r="MZF4" s="68"/>
      <c r="MZG4" s="68"/>
      <c r="MZH4" s="68"/>
      <c r="MZI4" s="68"/>
      <c r="MZJ4" s="67"/>
      <c r="NBJ4" s="67"/>
      <c r="NBK4" s="67"/>
      <c r="NBL4" s="67"/>
      <c r="NBM4" s="39"/>
      <c r="NBN4" s="40"/>
      <c r="NBO4" s="39"/>
      <c r="NBP4" s="67"/>
      <c r="NBQ4" s="67"/>
      <c r="NBR4" s="68"/>
      <c r="NBS4" s="68"/>
      <c r="NBT4" s="68"/>
      <c r="NBU4" s="68"/>
      <c r="NBV4" s="91"/>
      <c r="NBW4" s="67"/>
      <c r="NBX4" s="76"/>
      <c r="NBY4" s="72"/>
      <c r="NBZ4" s="72"/>
      <c r="NCA4" s="67"/>
      <c r="NCB4" s="67"/>
      <c r="NCC4" s="68"/>
      <c r="NCD4" s="68"/>
      <c r="NCE4" s="68"/>
      <c r="NCF4" s="68"/>
      <c r="NCG4" s="67"/>
      <c r="NEG4" s="67"/>
      <c r="NEH4" s="67"/>
      <c r="NEI4" s="67"/>
      <c r="NEJ4" s="39"/>
      <c r="NEK4" s="40"/>
      <c r="NEL4" s="39"/>
      <c r="NEM4" s="67"/>
      <c r="NEN4" s="67"/>
      <c r="NEO4" s="68"/>
      <c r="NEP4" s="68"/>
      <c r="NEQ4" s="68"/>
      <c r="NER4" s="68"/>
      <c r="NES4" s="91"/>
      <c r="NET4" s="67"/>
      <c r="NEU4" s="76"/>
      <c r="NEV4" s="72"/>
      <c r="NEW4" s="72"/>
      <c r="NEX4" s="67"/>
      <c r="NEY4" s="67"/>
      <c r="NEZ4" s="68"/>
      <c r="NFA4" s="68"/>
      <c r="NFB4" s="68"/>
      <c r="NFC4" s="68"/>
      <c r="NFD4" s="67"/>
      <c r="NHD4" s="67"/>
      <c r="NHE4" s="67"/>
      <c r="NHF4" s="67"/>
      <c r="NHG4" s="39"/>
      <c r="NHH4" s="40"/>
      <c r="NHI4" s="39"/>
      <c r="NHJ4" s="67"/>
      <c r="NHK4" s="67"/>
      <c r="NHL4" s="68"/>
      <c r="NHM4" s="68"/>
      <c r="NHN4" s="68"/>
      <c r="NHO4" s="68"/>
      <c r="NHP4" s="91"/>
      <c r="NHQ4" s="67"/>
      <c r="NHR4" s="76"/>
      <c r="NHS4" s="72"/>
      <c r="NHT4" s="72"/>
      <c r="NHU4" s="67"/>
      <c r="NHV4" s="67"/>
      <c r="NHW4" s="68"/>
      <c r="NHX4" s="68"/>
      <c r="NHY4" s="68"/>
      <c r="NHZ4" s="68"/>
      <c r="NIA4" s="67"/>
      <c r="NKA4" s="67"/>
      <c r="NKB4" s="67"/>
      <c r="NKC4" s="67"/>
      <c r="NKD4" s="39"/>
      <c r="NKE4" s="40"/>
      <c r="NKF4" s="39"/>
      <c r="NKG4" s="67"/>
      <c r="NKH4" s="67"/>
      <c r="NKI4" s="68"/>
      <c r="NKJ4" s="68"/>
      <c r="NKK4" s="68"/>
      <c r="NKL4" s="68"/>
      <c r="NKM4" s="91"/>
      <c r="NKN4" s="67"/>
      <c r="NKO4" s="76"/>
      <c r="NKP4" s="72"/>
      <c r="NKQ4" s="72"/>
      <c r="NKR4" s="67"/>
      <c r="NKS4" s="67"/>
      <c r="NKT4" s="68"/>
      <c r="NKU4" s="68"/>
      <c r="NKV4" s="68"/>
      <c r="NKW4" s="68"/>
      <c r="NKX4" s="67"/>
      <c r="NMX4" s="67"/>
      <c r="NMY4" s="67"/>
      <c r="NMZ4" s="67"/>
      <c r="NNA4" s="39"/>
      <c r="NNB4" s="40"/>
      <c r="NNC4" s="39"/>
      <c r="NND4" s="67"/>
      <c r="NNE4" s="67"/>
      <c r="NNF4" s="68"/>
      <c r="NNG4" s="68"/>
      <c r="NNH4" s="68"/>
      <c r="NNI4" s="68"/>
      <c r="NNJ4" s="91"/>
      <c r="NNK4" s="67"/>
      <c r="NNL4" s="76"/>
      <c r="NNM4" s="72"/>
      <c r="NNN4" s="72"/>
      <c r="NNO4" s="67"/>
      <c r="NNP4" s="67"/>
      <c r="NNQ4" s="68"/>
      <c r="NNR4" s="68"/>
      <c r="NNS4" s="68"/>
      <c r="NNT4" s="68"/>
      <c r="NNU4" s="67"/>
      <c r="NPU4" s="67"/>
      <c r="NPV4" s="67"/>
      <c r="NPW4" s="67"/>
      <c r="NPX4" s="39"/>
      <c r="NPY4" s="40"/>
      <c r="NPZ4" s="39"/>
      <c r="NQA4" s="67"/>
      <c r="NQB4" s="67"/>
      <c r="NQC4" s="68"/>
      <c r="NQD4" s="68"/>
      <c r="NQE4" s="68"/>
      <c r="NQF4" s="68"/>
      <c r="NQG4" s="91"/>
      <c r="NQH4" s="67"/>
      <c r="NQI4" s="76"/>
      <c r="NQJ4" s="72"/>
      <c r="NQK4" s="72"/>
      <c r="NQL4" s="67"/>
      <c r="NQM4" s="67"/>
      <c r="NQN4" s="68"/>
      <c r="NQO4" s="68"/>
      <c r="NQP4" s="68"/>
      <c r="NQQ4" s="68"/>
      <c r="NQR4" s="67"/>
      <c r="NSR4" s="67"/>
      <c r="NSS4" s="67"/>
      <c r="NST4" s="67"/>
      <c r="NSU4" s="39"/>
      <c r="NSV4" s="40"/>
      <c r="NSW4" s="39"/>
      <c r="NSX4" s="67"/>
      <c r="NSY4" s="67"/>
      <c r="NSZ4" s="68"/>
      <c r="NTA4" s="68"/>
      <c r="NTB4" s="68"/>
      <c r="NTC4" s="68"/>
      <c r="NTD4" s="91"/>
      <c r="NTE4" s="67"/>
      <c r="NTF4" s="76"/>
      <c r="NTG4" s="72"/>
      <c r="NTH4" s="72"/>
      <c r="NTI4" s="67"/>
      <c r="NTJ4" s="67"/>
      <c r="NTK4" s="68"/>
      <c r="NTL4" s="68"/>
      <c r="NTM4" s="68"/>
      <c r="NTN4" s="68"/>
      <c r="NTO4" s="67"/>
      <c r="NVO4" s="67"/>
      <c r="NVP4" s="67"/>
      <c r="NVQ4" s="67"/>
      <c r="NVR4" s="39"/>
      <c r="NVS4" s="40"/>
      <c r="NVT4" s="39"/>
      <c r="NVU4" s="67"/>
      <c r="NVV4" s="67"/>
      <c r="NVW4" s="68"/>
      <c r="NVX4" s="68"/>
      <c r="NVY4" s="68"/>
      <c r="NVZ4" s="68"/>
      <c r="NWA4" s="91"/>
      <c r="NWB4" s="67"/>
      <c r="NWC4" s="76"/>
      <c r="NWD4" s="72"/>
      <c r="NWE4" s="72"/>
      <c r="NWF4" s="67"/>
      <c r="NWG4" s="67"/>
      <c r="NWH4" s="68"/>
      <c r="NWI4" s="68"/>
      <c r="NWJ4" s="68"/>
      <c r="NWK4" s="68"/>
      <c r="NWL4" s="67"/>
      <c r="NYL4" s="67"/>
      <c r="NYM4" s="67"/>
      <c r="NYN4" s="67"/>
      <c r="NYO4" s="39"/>
      <c r="NYP4" s="40"/>
      <c r="NYQ4" s="39"/>
      <c r="NYR4" s="67"/>
      <c r="NYS4" s="67"/>
      <c r="NYT4" s="68"/>
      <c r="NYU4" s="68"/>
      <c r="NYV4" s="68"/>
      <c r="NYW4" s="68"/>
      <c r="NYX4" s="91"/>
      <c r="NYY4" s="67"/>
      <c r="NYZ4" s="76"/>
      <c r="NZA4" s="72"/>
      <c r="NZB4" s="72"/>
      <c r="NZC4" s="67"/>
      <c r="NZD4" s="67"/>
      <c r="NZE4" s="68"/>
      <c r="NZF4" s="68"/>
      <c r="NZG4" s="68"/>
      <c r="NZH4" s="68"/>
      <c r="NZI4" s="67"/>
      <c r="OBI4" s="67"/>
      <c r="OBJ4" s="67"/>
      <c r="OBK4" s="67"/>
      <c r="OBL4" s="39"/>
      <c r="OBM4" s="40"/>
      <c r="OBN4" s="39"/>
      <c r="OBO4" s="67"/>
      <c r="OBP4" s="67"/>
      <c r="OBQ4" s="68"/>
      <c r="OBR4" s="68"/>
      <c r="OBS4" s="68"/>
      <c r="OBT4" s="68"/>
      <c r="OBU4" s="91"/>
      <c r="OBV4" s="67"/>
      <c r="OBW4" s="76"/>
      <c r="OBX4" s="72"/>
      <c r="OBY4" s="72"/>
      <c r="OBZ4" s="67"/>
      <c r="OCA4" s="67"/>
      <c r="OCB4" s="68"/>
      <c r="OCC4" s="68"/>
      <c r="OCD4" s="68"/>
      <c r="OCE4" s="68"/>
      <c r="OCF4" s="67"/>
      <c r="OEF4" s="67"/>
      <c r="OEG4" s="67"/>
      <c r="OEH4" s="67"/>
      <c r="OEI4" s="39"/>
      <c r="OEJ4" s="40"/>
      <c r="OEK4" s="39"/>
      <c r="OEL4" s="67"/>
      <c r="OEM4" s="67"/>
      <c r="OEN4" s="68"/>
      <c r="OEO4" s="68"/>
      <c r="OEP4" s="68"/>
      <c r="OEQ4" s="68"/>
      <c r="OER4" s="91"/>
      <c r="OES4" s="67"/>
      <c r="OET4" s="76"/>
      <c r="OEU4" s="72"/>
      <c r="OEV4" s="72"/>
      <c r="OEW4" s="67"/>
      <c r="OEX4" s="67"/>
      <c r="OEY4" s="68"/>
      <c r="OEZ4" s="68"/>
      <c r="OFA4" s="68"/>
      <c r="OFB4" s="68"/>
      <c r="OFC4" s="67"/>
      <c r="OHC4" s="67"/>
      <c r="OHD4" s="67"/>
      <c r="OHE4" s="67"/>
      <c r="OHF4" s="39"/>
      <c r="OHG4" s="40"/>
      <c r="OHH4" s="39"/>
      <c r="OHI4" s="67"/>
      <c r="OHJ4" s="67"/>
      <c r="OHK4" s="68"/>
      <c r="OHL4" s="68"/>
      <c r="OHM4" s="68"/>
      <c r="OHN4" s="68"/>
      <c r="OHO4" s="91"/>
      <c r="OHP4" s="67"/>
      <c r="OHQ4" s="76"/>
      <c r="OHR4" s="72"/>
      <c r="OHS4" s="72"/>
      <c r="OHT4" s="67"/>
      <c r="OHU4" s="67"/>
      <c r="OHV4" s="68"/>
      <c r="OHW4" s="68"/>
      <c r="OHX4" s="68"/>
      <c r="OHY4" s="68"/>
      <c r="OHZ4" s="67"/>
      <c r="OJZ4" s="67"/>
      <c r="OKA4" s="67"/>
      <c r="OKB4" s="67"/>
      <c r="OKC4" s="39"/>
      <c r="OKD4" s="40"/>
      <c r="OKE4" s="39"/>
      <c r="OKF4" s="67"/>
      <c r="OKG4" s="67"/>
      <c r="OKH4" s="68"/>
      <c r="OKI4" s="68"/>
      <c r="OKJ4" s="68"/>
      <c r="OKK4" s="68"/>
      <c r="OKL4" s="91"/>
      <c r="OKM4" s="67"/>
      <c r="OKN4" s="76"/>
      <c r="OKO4" s="72"/>
      <c r="OKP4" s="72"/>
      <c r="OKQ4" s="67"/>
      <c r="OKR4" s="67"/>
      <c r="OKS4" s="68"/>
      <c r="OKT4" s="68"/>
      <c r="OKU4" s="68"/>
      <c r="OKV4" s="68"/>
      <c r="OKW4" s="67"/>
      <c r="OMW4" s="67"/>
      <c r="OMX4" s="67"/>
      <c r="OMY4" s="67"/>
      <c r="OMZ4" s="39"/>
      <c r="ONA4" s="40"/>
      <c r="ONB4" s="39"/>
      <c r="ONC4" s="67"/>
      <c r="OND4" s="67"/>
      <c r="ONE4" s="68"/>
      <c r="ONF4" s="68"/>
      <c r="ONG4" s="68"/>
      <c r="ONH4" s="68"/>
      <c r="ONI4" s="91"/>
      <c r="ONJ4" s="67"/>
      <c r="ONK4" s="76"/>
      <c r="ONL4" s="72"/>
      <c r="ONM4" s="72"/>
      <c r="ONN4" s="67"/>
      <c r="ONO4" s="67"/>
      <c r="ONP4" s="68"/>
      <c r="ONQ4" s="68"/>
      <c r="ONR4" s="68"/>
      <c r="ONS4" s="68"/>
      <c r="ONT4" s="67"/>
      <c r="OPT4" s="67"/>
      <c r="OPU4" s="67"/>
      <c r="OPV4" s="67"/>
      <c r="OPW4" s="39"/>
      <c r="OPX4" s="40"/>
      <c r="OPY4" s="39"/>
      <c r="OPZ4" s="67"/>
      <c r="OQA4" s="67"/>
      <c r="OQB4" s="68"/>
      <c r="OQC4" s="68"/>
      <c r="OQD4" s="68"/>
      <c r="OQE4" s="68"/>
      <c r="OQF4" s="91"/>
      <c r="OQG4" s="67"/>
      <c r="OQH4" s="76"/>
      <c r="OQI4" s="72"/>
      <c r="OQJ4" s="72"/>
      <c r="OQK4" s="67"/>
      <c r="OQL4" s="67"/>
      <c r="OQM4" s="68"/>
      <c r="OQN4" s="68"/>
      <c r="OQO4" s="68"/>
      <c r="OQP4" s="68"/>
      <c r="OQQ4" s="67"/>
      <c r="OSQ4" s="67"/>
      <c r="OSR4" s="67"/>
      <c r="OSS4" s="67"/>
      <c r="OST4" s="39"/>
      <c r="OSU4" s="40"/>
      <c r="OSV4" s="39"/>
      <c r="OSW4" s="67"/>
      <c r="OSX4" s="67"/>
      <c r="OSY4" s="68"/>
      <c r="OSZ4" s="68"/>
      <c r="OTA4" s="68"/>
      <c r="OTB4" s="68"/>
      <c r="OTC4" s="91"/>
      <c r="OTD4" s="67"/>
      <c r="OTE4" s="76"/>
      <c r="OTF4" s="72"/>
      <c r="OTG4" s="72"/>
      <c r="OTH4" s="67"/>
      <c r="OTI4" s="67"/>
      <c r="OTJ4" s="68"/>
      <c r="OTK4" s="68"/>
      <c r="OTL4" s="68"/>
      <c r="OTM4" s="68"/>
      <c r="OTN4" s="67"/>
      <c r="OVN4" s="67"/>
      <c r="OVO4" s="67"/>
      <c r="OVP4" s="67"/>
      <c r="OVQ4" s="39"/>
      <c r="OVR4" s="40"/>
      <c r="OVS4" s="39"/>
      <c r="OVT4" s="67"/>
      <c r="OVU4" s="67"/>
      <c r="OVV4" s="68"/>
      <c r="OVW4" s="68"/>
      <c r="OVX4" s="68"/>
      <c r="OVY4" s="68"/>
      <c r="OVZ4" s="91"/>
      <c r="OWA4" s="67"/>
      <c r="OWB4" s="76"/>
      <c r="OWC4" s="72"/>
      <c r="OWD4" s="72"/>
      <c r="OWE4" s="67"/>
      <c r="OWF4" s="67"/>
      <c r="OWG4" s="68"/>
      <c r="OWH4" s="68"/>
      <c r="OWI4" s="68"/>
      <c r="OWJ4" s="68"/>
      <c r="OWK4" s="67"/>
      <c r="OYK4" s="67"/>
      <c r="OYL4" s="67"/>
      <c r="OYM4" s="67"/>
      <c r="OYN4" s="39"/>
      <c r="OYO4" s="40"/>
      <c r="OYP4" s="39"/>
      <c r="OYQ4" s="67"/>
      <c r="OYR4" s="67"/>
      <c r="OYS4" s="68"/>
      <c r="OYT4" s="68"/>
      <c r="OYU4" s="68"/>
      <c r="OYV4" s="68"/>
      <c r="OYW4" s="91"/>
      <c r="OYX4" s="67"/>
      <c r="OYY4" s="76"/>
      <c r="OYZ4" s="72"/>
      <c r="OZA4" s="72"/>
      <c r="OZB4" s="67"/>
      <c r="OZC4" s="67"/>
      <c r="OZD4" s="68"/>
      <c r="OZE4" s="68"/>
      <c r="OZF4" s="68"/>
      <c r="OZG4" s="68"/>
      <c r="OZH4" s="67"/>
      <c r="PBH4" s="67"/>
      <c r="PBI4" s="67"/>
      <c r="PBJ4" s="67"/>
      <c r="PBK4" s="39"/>
      <c r="PBL4" s="40"/>
      <c r="PBM4" s="39"/>
      <c r="PBN4" s="67"/>
      <c r="PBO4" s="67"/>
      <c r="PBP4" s="68"/>
      <c r="PBQ4" s="68"/>
      <c r="PBR4" s="68"/>
      <c r="PBS4" s="68"/>
      <c r="PBT4" s="91"/>
      <c r="PBU4" s="67"/>
      <c r="PBV4" s="76"/>
      <c r="PBW4" s="72"/>
      <c r="PBX4" s="72"/>
      <c r="PBY4" s="67"/>
      <c r="PBZ4" s="67"/>
      <c r="PCA4" s="68"/>
      <c r="PCB4" s="68"/>
      <c r="PCC4" s="68"/>
      <c r="PCD4" s="68"/>
      <c r="PCE4" s="67"/>
      <c r="PEE4" s="67"/>
      <c r="PEF4" s="67"/>
      <c r="PEG4" s="67"/>
      <c r="PEH4" s="39"/>
      <c r="PEI4" s="40"/>
      <c r="PEJ4" s="39"/>
      <c r="PEK4" s="67"/>
      <c r="PEL4" s="67"/>
      <c r="PEM4" s="68"/>
      <c r="PEN4" s="68"/>
      <c r="PEO4" s="68"/>
      <c r="PEP4" s="68"/>
      <c r="PEQ4" s="91"/>
      <c r="PER4" s="67"/>
      <c r="PES4" s="76"/>
      <c r="PET4" s="72"/>
      <c r="PEU4" s="72"/>
      <c r="PEV4" s="67"/>
      <c r="PEW4" s="67"/>
      <c r="PEX4" s="68"/>
      <c r="PEY4" s="68"/>
      <c r="PEZ4" s="68"/>
      <c r="PFA4" s="68"/>
      <c r="PFB4" s="67"/>
      <c r="PHB4" s="67"/>
      <c r="PHC4" s="67"/>
      <c r="PHD4" s="67"/>
      <c r="PHE4" s="39"/>
      <c r="PHF4" s="40"/>
      <c r="PHG4" s="39"/>
      <c r="PHH4" s="67"/>
      <c r="PHI4" s="67"/>
      <c r="PHJ4" s="68"/>
      <c r="PHK4" s="68"/>
      <c r="PHL4" s="68"/>
      <c r="PHM4" s="68"/>
      <c r="PHN4" s="91"/>
      <c r="PHO4" s="67"/>
      <c r="PHP4" s="76"/>
      <c r="PHQ4" s="72"/>
      <c r="PHR4" s="72"/>
      <c r="PHS4" s="67"/>
      <c r="PHT4" s="67"/>
      <c r="PHU4" s="68"/>
      <c r="PHV4" s="68"/>
      <c r="PHW4" s="68"/>
      <c r="PHX4" s="68"/>
      <c r="PHY4" s="67"/>
      <c r="PJY4" s="67"/>
      <c r="PJZ4" s="67"/>
      <c r="PKA4" s="67"/>
      <c r="PKB4" s="39"/>
      <c r="PKC4" s="40"/>
      <c r="PKD4" s="39"/>
      <c r="PKE4" s="67"/>
      <c r="PKF4" s="67"/>
      <c r="PKG4" s="68"/>
      <c r="PKH4" s="68"/>
      <c r="PKI4" s="68"/>
      <c r="PKJ4" s="68"/>
      <c r="PKK4" s="91"/>
      <c r="PKL4" s="67"/>
      <c r="PKM4" s="76"/>
      <c r="PKN4" s="72"/>
      <c r="PKO4" s="72"/>
      <c r="PKP4" s="67"/>
      <c r="PKQ4" s="67"/>
      <c r="PKR4" s="68"/>
      <c r="PKS4" s="68"/>
      <c r="PKT4" s="68"/>
      <c r="PKU4" s="68"/>
      <c r="PKV4" s="67"/>
      <c r="PMV4" s="67"/>
      <c r="PMW4" s="67"/>
      <c r="PMX4" s="67"/>
      <c r="PMY4" s="39"/>
      <c r="PMZ4" s="40"/>
      <c r="PNA4" s="39"/>
      <c r="PNB4" s="67"/>
      <c r="PNC4" s="67"/>
      <c r="PND4" s="68"/>
      <c r="PNE4" s="68"/>
      <c r="PNF4" s="68"/>
      <c r="PNG4" s="68"/>
      <c r="PNH4" s="91"/>
      <c r="PNI4" s="67"/>
      <c r="PNJ4" s="76"/>
      <c r="PNK4" s="72"/>
      <c r="PNL4" s="72"/>
      <c r="PNM4" s="67"/>
      <c r="PNN4" s="67"/>
      <c r="PNO4" s="68"/>
      <c r="PNP4" s="68"/>
      <c r="PNQ4" s="68"/>
      <c r="PNR4" s="68"/>
      <c r="PNS4" s="67"/>
      <c r="PPS4" s="67"/>
      <c r="PPT4" s="67"/>
      <c r="PPU4" s="67"/>
      <c r="PPV4" s="39"/>
      <c r="PPW4" s="40"/>
      <c r="PPX4" s="39"/>
      <c r="PPY4" s="67"/>
      <c r="PPZ4" s="67"/>
      <c r="PQA4" s="68"/>
      <c r="PQB4" s="68"/>
      <c r="PQC4" s="68"/>
      <c r="PQD4" s="68"/>
      <c r="PQE4" s="91"/>
      <c r="PQF4" s="67"/>
      <c r="PQG4" s="76"/>
      <c r="PQH4" s="72"/>
      <c r="PQI4" s="72"/>
      <c r="PQJ4" s="67"/>
      <c r="PQK4" s="67"/>
      <c r="PQL4" s="68"/>
      <c r="PQM4" s="68"/>
      <c r="PQN4" s="68"/>
      <c r="PQO4" s="68"/>
      <c r="PQP4" s="67"/>
      <c r="PSP4" s="67"/>
      <c r="PSQ4" s="67"/>
      <c r="PSR4" s="67"/>
      <c r="PSS4" s="39"/>
      <c r="PST4" s="40"/>
      <c r="PSU4" s="39"/>
      <c r="PSV4" s="67"/>
      <c r="PSW4" s="67"/>
      <c r="PSX4" s="68"/>
      <c r="PSY4" s="68"/>
      <c r="PSZ4" s="68"/>
      <c r="PTA4" s="68"/>
      <c r="PTB4" s="91"/>
      <c r="PTC4" s="67"/>
      <c r="PTD4" s="76"/>
      <c r="PTE4" s="72"/>
      <c r="PTF4" s="72"/>
      <c r="PTG4" s="67"/>
      <c r="PTH4" s="67"/>
      <c r="PTI4" s="68"/>
      <c r="PTJ4" s="68"/>
      <c r="PTK4" s="68"/>
      <c r="PTL4" s="68"/>
      <c r="PTM4" s="67"/>
      <c r="PVM4" s="67"/>
      <c r="PVN4" s="67"/>
      <c r="PVO4" s="67"/>
      <c r="PVP4" s="39"/>
      <c r="PVQ4" s="40"/>
      <c r="PVR4" s="39"/>
      <c r="PVS4" s="67"/>
      <c r="PVT4" s="67"/>
      <c r="PVU4" s="68"/>
      <c r="PVV4" s="68"/>
      <c r="PVW4" s="68"/>
      <c r="PVX4" s="68"/>
      <c r="PVY4" s="91"/>
      <c r="PVZ4" s="67"/>
      <c r="PWA4" s="76"/>
      <c r="PWB4" s="72"/>
      <c r="PWC4" s="72"/>
      <c r="PWD4" s="67"/>
      <c r="PWE4" s="67"/>
      <c r="PWF4" s="68"/>
      <c r="PWG4" s="68"/>
      <c r="PWH4" s="68"/>
      <c r="PWI4" s="68"/>
      <c r="PWJ4" s="67"/>
      <c r="PYJ4" s="67"/>
      <c r="PYK4" s="67"/>
      <c r="PYL4" s="67"/>
      <c r="PYM4" s="39"/>
      <c r="PYN4" s="40"/>
      <c r="PYO4" s="39"/>
      <c r="PYP4" s="67"/>
      <c r="PYQ4" s="67"/>
      <c r="PYR4" s="68"/>
      <c r="PYS4" s="68"/>
      <c r="PYT4" s="68"/>
      <c r="PYU4" s="68"/>
      <c r="PYV4" s="91"/>
      <c r="PYW4" s="67"/>
      <c r="PYX4" s="76"/>
      <c r="PYY4" s="72"/>
      <c r="PYZ4" s="72"/>
      <c r="PZA4" s="67"/>
      <c r="PZB4" s="67"/>
      <c r="PZC4" s="68"/>
      <c r="PZD4" s="68"/>
      <c r="PZE4" s="68"/>
      <c r="PZF4" s="68"/>
      <c r="PZG4" s="67"/>
      <c r="QBG4" s="67"/>
      <c r="QBH4" s="67"/>
      <c r="QBI4" s="67"/>
      <c r="QBJ4" s="39"/>
      <c r="QBK4" s="40"/>
      <c r="QBL4" s="39"/>
      <c r="QBM4" s="67"/>
      <c r="QBN4" s="67"/>
      <c r="QBO4" s="68"/>
      <c r="QBP4" s="68"/>
      <c r="QBQ4" s="68"/>
      <c r="QBR4" s="68"/>
      <c r="QBS4" s="91"/>
      <c r="QBT4" s="67"/>
      <c r="QBU4" s="76"/>
      <c r="QBV4" s="72"/>
      <c r="QBW4" s="72"/>
      <c r="QBX4" s="67"/>
      <c r="QBY4" s="67"/>
      <c r="QBZ4" s="68"/>
      <c r="QCA4" s="68"/>
      <c r="QCB4" s="68"/>
      <c r="QCC4" s="68"/>
      <c r="QCD4" s="67"/>
      <c r="QED4" s="67"/>
      <c r="QEE4" s="67"/>
      <c r="QEF4" s="67"/>
      <c r="QEG4" s="39"/>
      <c r="QEH4" s="40"/>
      <c r="QEI4" s="39"/>
      <c r="QEJ4" s="67"/>
      <c r="QEK4" s="67"/>
      <c r="QEL4" s="68"/>
      <c r="QEM4" s="68"/>
      <c r="QEN4" s="68"/>
      <c r="QEO4" s="68"/>
      <c r="QEP4" s="91"/>
      <c r="QEQ4" s="67"/>
      <c r="QER4" s="76"/>
      <c r="QES4" s="72"/>
      <c r="QET4" s="72"/>
      <c r="QEU4" s="67"/>
      <c r="QEV4" s="67"/>
      <c r="QEW4" s="68"/>
      <c r="QEX4" s="68"/>
      <c r="QEY4" s="68"/>
      <c r="QEZ4" s="68"/>
      <c r="QFA4" s="67"/>
      <c r="QHA4" s="67"/>
      <c r="QHB4" s="67"/>
      <c r="QHC4" s="67"/>
      <c r="QHD4" s="39"/>
      <c r="QHE4" s="40"/>
      <c r="QHF4" s="39"/>
      <c r="QHG4" s="67"/>
      <c r="QHH4" s="67"/>
      <c r="QHI4" s="68"/>
      <c r="QHJ4" s="68"/>
      <c r="QHK4" s="68"/>
      <c r="QHL4" s="68"/>
      <c r="QHM4" s="91"/>
      <c r="QHN4" s="67"/>
      <c r="QHO4" s="76"/>
      <c r="QHP4" s="72"/>
      <c r="QHQ4" s="72"/>
      <c r="QHR4" s="67"/>
      <c r="QHS4" s="67"/>
      <c r="QHT4" s="68"/>
      <c r="QHU4" s="68"/>
      <c r="QHV4" s="68"/>
      <c r="QHW4" s="68"/>
      <c r="QHX4" s="67"/>
      <c r="QJX4" s="67"/>
      <c r="QJY4" s="67"/>
      <c r="QJZ4" s="67"/>
      <c r="QKA4" s="39"/>
      <c r="QKB4" s="40"/>
      <c r="QKC4" s="39"/>
      <c r="QKD4" s="67"/>
      <c r="QKE4" s="67"/>
      <c r="QKF4" s="68"/>
      <c r="QKG4" s="68"/>
      <c r="QKH4" s="68"/>
      <c r="QKI4" s="68"/>
      <c r="QKJ4" s="91"/>
      <c r="QKK4" s="67"/>
      <c r="QKL4" s="76"/>
      <c r="QKM4" s="72"/>
      <c r="QKN4" s="72"/>
      <c r="QKO4" s="67"/>
      <c r="QKP4" s="67"/>
      <c r="QKQ4" s="68"/>
      <c r="QKR4" s="68"/>
      <c r="QKS4" s="68"/>
      <c r="QKT4" s="68"/>
      <c r="QKU4" s="67"/>
      <c r="QMU4" s="67"/>
      <c r="QMV4" s="67"/>
      <c r="QMW4" s="67"/>
      <c r="QMX4" s="39"/>
      <c r="QMY4" s="40"/>
      <c r="QMZ4" s="39"/>
      <c r="QNA4" s="67"/>
      <c r="QNB4" s="67"/>
      <c r="QNC4" s="68"/>
      <c r="QND4" s="68"/>
      <c r="QNE4" s="68"/>
      <c r="QNF4" s="68"/>
      <c r="QNG4" s="91"/>
      <c r="QNH4" s="67"/>
      <c r="QNI4" s="76"/>
      <c r="QNJ4" s="72"/>
      <c r="QNK4" s="72"/>
      <c r="QNL4" s="67"/>
      <c r="QNM4" s="67"/>
      <c r="QNN4" s="68"/>
      <c r="QNO4" s="68"/>
      <c r="QNP4" s="68"/>
      <c r="QNQ4" s="68"/>
      <c r="QNR4" s="67"/>
      <c r="QPR4" s="67"/>
      <c r="QPS4" s="67"/>
      <c r="QPT4" s="67"/>
      <c r="QPU4" s="39"/>
      <c r="QPV4" s="40"/>
      <c r="QPW4" s="39"/>
      <c r="QPX4" s="67"/>
      <c r="QPY4" s="67"/>
      <c r="QPZ4" s="68"/>
      <c r="QQA4" s="68"/>
      <c r="QQB4" s="68"/>
      <c r="QQC4" s="68"/>
      <c r="QQD4" s="91"/>
      <c r="QQE4" s="67"/>
      <c r="QQF4" s="76"/>
      <c r="QQG4" s="72"/>
      <c r="QQH4" s="72"/>
      <c r="QQI4" s="67"/>
      <c r="QQJ4" s="67"/>
      <c r="QQK4" s="68"/>
      <c r="QQL4" s="68"/>
      <c r="QQM4" s="68"/>
      <c r="QQN4" s="68"/>
      <c r="QQO4" s="67"/>
      <c r="QSO4" s="67"/>
      <c r="QSP4" s="67"/>
      <c r="QSQ4" s="67"/>
      <c r="QSR4" s="39"/>
      <c r="QSS4" s="40"/>
      <c r="QST4" s="39"/>
      <c r="QSU4" s="67"/>
      <c r="QSV4" s="67"/>
      <c r="QSW4" s="68"/>
      <c r="QSX4" s="68"/>
      <c r="QSY4" s="68"/>
      <c r="QSZ4" s="68"/>
      <c r="QTA4" s="91"/>
      <c r="QTB4" s="67"/>
      <c r="QTC4" s="76"/>
      <c r="QTD4" s="72"/>
      <c r="QTE4" s="72"/>
      <c r="QTF4" s="67"/>
      <c r="QTG4" s="67"/>
      <c r="QTH4" s="68"/>
      <c r="QTI4" s="68"/>
      <c r="QTJ4" s="68"/>
      <c r="QTK4" s="68"/>
      <c r="QTL4" s="67"/>
      <c r="QVL4" s="67"/>
      <c r="QVM4" s="67"/>
      <c r="QVN4" s="67"/>
      <c r="QVO4" s="39"/>
      <c r="QVP4" s="40"/>
      <c r="QVQ4" s="39"/>
      <c r="QVR4" s="67"/>
      <c r="QVS4" s="67"/>
      <c r="QVT4" s="68"/>
      <c r="QVU4" s="68"/>
      <c r="QVV4" s="68"/>
      <c r="QVW4" s="68"/>
      <c r="QVX4" s="91"/>
      <c r="QVY4" s="67"/>
      <c r="QVZ4" s="76"/>
      <c r="QWA4" s="72"/>
      <c r="QWB4" s="72"/>
      <c r="QWC4" s="67"/>
      <c r="QWD4" s="67"/>
      <c r="QWE4" s="68"/>
      <c r="QWF4" s="68"/>
      <c r="QWG4" s="68"/>
      <c r="QWH4" s="68"/>
      <c r="QWI4" s="67"/>
      <c r="QYI4" s="67"/>
      <c r="QYJ4" s="67"/>
      <c r="QYK4" s="67"/>
      <c r="QYL4" s="39"/>
      <c r="QYM4" s="40"/>
      <c r="QYN4" s="39"/>
      <c r="QYO4" s="67"/>
      <c r="QYP4" s="67"/>
      <c r="QYQ4" s="68"/>
      <c r="QYR4" s="68"/>
      <c r="QYS4" s="68"/>
      <c r="QYT4" s="68"/>
      <c r="QYU4" s="91"/>
      <c r="QYV4" s="67"/>
      <c r="QYW4" s="76"/>
      <c r="QYX4" s="72"/>
      <c r="QYY4" s="72"/>
      <c r="QYZ4" s="67"/>
      <c r="QZA4" s="67"/>
      <c r="QZB4" s="68"/>
      <c r="QZC4" s="68"/>
      <c r="QZD4" s="68"/>
      <c r="QZE4" s="68"/>
      <c r="QZF4" s="67"/>
      <c r="RBF4" s="67"/>
      <c r="RBG4" s="67"/>
      <c r="RBH4" s="67"/>
      <c r="RBI4" s="39"/>
      <c r="RBJ4" s="40"/>
      <c r="RBK4" s="39"/>
      <c r="RBL4" s="67"/>
      <c r="RBM4" s="67"/>
      <c r="RBN4" s="68"/>
      <c r="RBO4" s="68"/>
      <c r="RBP4" s="68"/>
      <c r="RBQ4" s="68"/>
      <c r="RBR4" s="91"/>
      <c r="RBS4" s="67"/>
      <c r="RBT4" s="76"/>
      <c r="RBU4" s="72"/>
      <c r="RBV4" s="72"/>
      <c r="RBW4" s="67"/>
      <c r="RBX4" s="67"/>
      <c r="RBY4" s="68"/>
      <c r="RBZ4" s="68"/>
      <c r="RCA4" s="68"/>
      <c r="RCB4" s="68"/>
      <c r="RCC4" s="67"/>
      <c r="REC4" s="67"/>
      <c r="RED4" s="67"/>
      <c r="REE4" s="67"/>
      <c r="REF4" s="39"/>
      <c r="REG4" s="40"/>
      <c r="REH4" s="39"/>
      <c r="REI4" s="67"/>
      <c r="REJ4" s="67"/>
      <c r="REK4" s="68"/>
      <c r="REL4" s="68"/>
      <c r="REM4" s="68"/>
      <c r="REN4" s="68"/>
      <c r="REO4" s="91"/>
      <c r="REP4" s="67"/>
      <c r="REQ4" s="76"/>
      <c r="RER4" s="72"/>
      <c r="RES4" s="72"/>
      <c r="RET4" s="67"/>
      <c r="REU4" s="67"/>
      <c r="REV4" s="68"/>
      <c r="REW4" s="68"/>
      <c r="REX4" s="68"/>
      <c r="REY4" s="68"/>
      <c r="REZ4" s="67"/>
      <c r="RGZ4" s="67"/>
      <c r="RHA4" s="67"/>
      <c r="RHB4" s="67"/>
      <c r="RHC4" s="39"/>
      <c r="RHD4" s="40"/>
      <c r="RHE4" s="39"/>
      <c r="RHF4" s="67"/>
      <c r="RHG4" s="67"/>
      <c r="RHH4" s="68"/>
      <c r="RHI4" s="68"/>
      <c r="RHJ4" s="68"/>
      <c r="RHK4" s="68"/>
      <c r="RHL4" s="91"/>
      <c r="RHM4" s="67"/>
      <c r="RHN4" s="76"/>
      <c r="RHO4" s="72"/>
      <c r="RHP4" s="72"/>
      <c r="RHQ4" s="67"/>
      <c r="RHR4" s="67"/>
      <c r="RHS4" s="68"/>
      <c r="RHT4" s="68"/>
      <c r="RHU4" s="68"/>
      <c r="RHV4" s="68"/>
      <c r="RHW4" s="67"/>
      <c r="RJW4" s="67"/>
      <c r="RJX4" s="67"/>
      <c r="RJY4" s="67"/>
      <c r="RJZ4" s="39"/>
      <c r="RKA4" s="40"/>
      <c r="RKB4" s="39"/>
      <c r="RKC4" s="67"/>
      <c r="RKD4" s="67"/>
      <c r="RKE4" s="68"/>
      <c r="RKF4" s="68"/>
      <c r="RKG4" s="68"/>
      <c r="RKH4" s="68"/>
      <c r="RKI4" s="91"/>
      <c r="RKJ4" s="67"/>
      <c r="RKK4" s="76"/>
      <c r="RKL4" s="72"/>
      <c r="RKM4" s="72"/>
      <c r="RKN4" s="67"/>
      <c r="RKO4" s="67"/>
      <c r="RKP4" s="68"/>
      <c r="RKQ4" s="68"/>
      <c r="RKR4" s="68"/>
      <c r="RKS4" s="68"/>
      <c r="RKT4" s="67"/>
      <c r="RMT4" s="67"/>
      <c r="RMU4" s="67"/>
      <c r="RMV4" s="67"/>
      <c r="RMW4" s="39"/>
      <c r="RMX4" s="40"/>
      <c r="RMY4" s="39"/>
      <c r="RMZ4" s="67"/>
      <c r="RNA4" s="67"/>
      <c r="RNB4" s="68"/>
      <c r="RNC4" s="68"/>
      <c r="RND4" s="68"/>
      <c r="RNE4" s="68"/>
      <c r="RNF4" s="91"/>
      <c r="RNG4" s="67"/>
      <c r="RNH4" s="76"/>
      <c r="RNI4" s="72"/>
      <c r="RNJ4" s="72"/>
      <c r="RNK4" s="67"/>
      <c r="RNL4" s="67"/>
      <c r="RNM4" s="68"/>
      <c r="RNN4" s="68"/>
      <c r="RNO4" s="68"/>
      <c r="RNP4" s="68"/>
      <c r="RNQ4" s="67"/>
      <c r="RPQ4" s="67"/>
      <c r="RPR4" s="67"/>
      <c r="RPS4" s="67"/>
      <c r="RPT4" s="39"/>
      <c r="RPU4" s="40"/>
      <c r="RPV4" s="39"/>
      <c r="RPW4" s="67"/>
      <c r="RPX4" s="67"/>
      <c r="RPY4" s="68"/>
      <c r="RPZ4" s="68"/>
      <c r="RQA4" s="68"/>
      <c r="RQB4" s="68"/>
      <c r="RQC4" s="91"/>
      <c r="RQD4" s="67"/>
      <c r="RQE4" s="76"/>
      <c r="RQF4" s="72"/>
      <c r="RQG4" s="72"/>
      <c r="RQH4" s="67"/>
      <c r="RQI4" s="67"/>
      <c r="RQJ4" s="68"/>
      <c r="RQK4" s="68"/>
      <c r="RQL4" s="68"/>
      <c r="RQM4" s="68"/>
      <c r="RQN4" s="67"/>
      <c r="RSN4" s="67"/>
      <c r="RSO4" s="67"/>
      <c r="RSP4" s="67"/>
      <c r="RSQ4" s="39"/>
      <c r="RSR4" s="40"/>
      <c r="RSS4" s="39"/>
      <c r="RST4" s="67"/>
      <c r="RSU4" s="67"/>
      <c r="RSV4" s="68"/>
      <c r="RSW4" s="68"/>
      <c r="RSX4" s="68"/>
      <c r="RSY4" s="68"/>
      <c r="RSZ4" s="91"/>
      <c r="RTA4" s="67"/>
      <c r="RTB4" s="76"/>
      <c r="RTC4" s="72"/>
      <c r="RTD4" s="72"/>
      <c r="RTE4" s="67"/>
      <c r="RTF4" s="67"/>
      <c r="RTG4" s="68"/>
      <c r="RTH4" s="68"/>
      <c r="RTI4" s="68"/>
      <c r="RTJ4" s="68"/>
      <c r="RTK4" s="67"/>
      <c r="RVK4" s="67"/>
      <c r="RVL4" s="67"/>
      <c r="RVM4" s="67"/>
      <c r="RVN4" s="39"/>
      <c r="RVO4" s="40"/>
      <c r="RVP4" s="39"/>
      <c r="RVQ4" s="67"/>
      <c r="RVR4" s="67"/>
      <c r="RVS4" s="68"/>
      <c r="RVT4" s="68"/>
      <c r="RVU4" s="68"/>
      <c r="RVV4" s="68"/>
      <c r="RVW4" s="91"/>
      <c r="RVX4" s="67"/>
      <c r="RVY4" s="76"/>
      <c r="RVZ4" s="72"/>
      <c r="RWA4" s="72"/>
      <c r="RWB4" s="67"/>
      <c r="RWC4" s="67"/>
      <c r="RWD4" s="68"/>
      <c r="RWE4" s="68"/>
      <c r="RWF4" s="68"/>
      <c r="RWG4" s="68"/>
      <c r="RWH4" s="67"/>
      <c r="RYH4" s="67"/>
      <c r="RYI4" s="67"/>
      <c r="RYJ4" s="67"/>
      <c r="RYK4" s="39"/>
      <c r="RYL4" s="40"/>
      <c r="RYM4" s="39"/>
      <c r="RYN4" s="67"/>
      <c r="RYO4" s="67"/>
      <c r="RYP4" s="68"/>
      <c r="RYQ4" s="68"/>
      <c r="RYR4" s="68"/>
      <c r="RYS4" s="68"/>
      <c r="RYT4" s="91"/>
      <c r="RYU4" s="67"/>
      <c r="RYV4" s="76"/>
      <c r="RYW4" s="72"/>
      <c r="RYX4" s="72"/>
      <c r="RYY4" s="67"/>
      <c r="RYZ4" s="67"/>
      <c r="RZA4" s="68"/>
      <c r="RZB4" s="68"/>
      <c r="RZC4" s="68"/>
      <c r="RZD4" s="68"/>
      <c r="RZE4" s="67"/>
      <c r="SBE4" s="67"/>
      <c r="SBF4" s="67"/>
      <c r="SBG4" s="67"/>
      <c r="SBH4" s="39"/>
      <c r="SBI4" s="40"/>
      <c r="SBJ4" s="39"/>
      <c r="SBK4" s="67"/>
      <c r="SBL4" s="67"/>
      <c r="SBM4" s="68"/>
      <c r="SBN4" s="68"/>
      <c r="SBO4" s="68"/>
      <c r="SBP4" s="68"/>
      <c r="SBQ4" s="91"/>
      <c r="SBR4" s="67"/>
      <c r="SBS4" s="76"/>
      <c r="SBT4" s="72"/>
      <c r="SBU4" s="72"/>
      <c r="SBV4" s="67"/>
      <c r="SBW4" s="67"/>
      <c r="SBX4" s="68"/>
      <c r="SBY4" s="68"/>
      <c r="SBZ4" s="68"/>
      <c r="SCA4" s="68"/>
      <c r="SCB4" s="67"/>
      <c r="SEB4" s="67"/>
      <c r="SEC4" s="67"/>
      <c r="SED4" s="67"/>
      <c r="SEE4" s="39"/>
      <c r="SEF4" s="40"/>
      <c r="SEG4" s="39"/>
      <c r="SEH4" s="67"/>
      <c r="SEI4" s="67"/>
      <c r="SEJ4" s="68"/>
      <c r="SEK4" s="68"/>
      <c r="SEL4" s="68"/>
      <c r="SEM4" s="68"/>
      <c r="SEN4" s="91"/>
      <c r="SEO4" s="67"/>
      <c r="SEP4" s="76"/>
      <c r="SEQ4" s="72"/>
      <c r="SER4" s="72"/>
      <c r="SES4" s="67"/>
      <c r="SET4" s="67"/>
      <c r="SEU4" s="68"/>
      <c r="SEV4" s="68"/>
      <c r="SEW4" s="68"/>
      <c r="SEX4" s="68"/>
      <c r="SEY4" s="67"/>
      <c r="SGY4" s="67"/>
      <c r="SGZ4" s="67"/>
      <c r="SHA4" s="67"/>
      <c r="SHB4" s="39"/>
      <c r="SHC4" s="40"/>
      <c r="SHD4" s="39"/>
      <c r="SHE4" s="67"/>
      <c r="SHF4" s="67"/>
      <c r="SHG4" s="68"/>
      <c r="SHH4" s="68"/>
      <c r="SHI4" s="68"/>
      <c r="SHJ4" s="68"/>
      <c r="SHK4" s="91"/>
      <c r="SHL4" s="67"/>
      <c r="SHM4" s="76"/>
      <c r="SHN4" s="72"/>
      <c r="SHO4" s="72"/>
      <c r="SHP4" s="67"/>
      <c r="SHQ4" s="67"/>
      <c r="SHR4" s="68"/>
      <c r="SHS4" s="68"/>
      <c r="SHT4" s="68"/>
      <c r="SHU4" s="68"/>
      <c r="SHV4" s="67"/>
      <c r="SJV4" s="67"/>
      <c r="SJW4" s="67"/>
      <c r="SJX4" s="67"/>
      <c r="SJY4" s="39"/>
      <c r="SJZ4" s="40"/>
      <c r="SKA4" s="39"/>
      <c r="SKB4" s="67"/>
      <c r="SKC4" s="67"/>
      <c r="SKD4" s="68"/>
      <c r="SKE4" s="68"/>
      <c r="SKF4" s="68"/>
      <c r="SKG4" s="68"/>
      <c r="SKH4" s="91"/>
      <c r="SKI4" s="67"/>
      <c r="SKJ4" s="76"/>
      <c r="SKK4" s="72"/>
      <c r="SKL4" s="72"/>
      <c r="SKM4" s="67"/>
      <c r="SKN4" s="67"/>
      <c r="SKO4" s="68"/>
      <c r="SKP4" s="68"/>
      <c r="SKQ4" s="68"/>
      <c r="SKR4" s="68"/>
      <c r="SKS4" s="67"/>
      <c r="SMS4" s="67"/>
      <c r="SMT4" s="67"/>
      <c r="SMU4" s="67"/>
      <c r="SMV4" s="39"/>
      <c r="SMW4" s="40"/>
      <c r="SMX4" s="39"/>
      <c r="SMY4" s="67"/>
      <c r="SMZ4" s="67"/>
      <c r="SNA4" s="68"/>
      <c r="SNB4" s="68"/>
      <c r="SNC4" s="68"/>
      <c r="SND4" s="68"/>
      <c r="SNE4" s="91"/>
      <c r="SNF4" s="67"/>
      <c r="SNG4" s="76"/>
      <c r="SNH4" s="72"/>
      <c r="SNI4" s="72"/>
      <c r="SNJ4" s="67"/>
      <c r="SNK4" s="67"/>
      <c r="SNL4" s="68"/>
      <c r="SNM4" s="68"/>
      <c r="SNN4" s="68"/>
      <c r="SNO4" s="68"/>
      <c r="SNP4" s="67"/>
      <c r="SPP4" s="67"/>
      <c r="SPQ4" s="67"/>
      <c r="SPR4" s="67"/>
      <c r="SPS4" s="39"/>
      <c r="SPT4" s="40"/>
      <c r="SPU4" s="39"/>
      <c r="SPV4" s="67"/>
      <c r="SPW4" s="67"/>
      <c r="SPX4" s="68"/>
      <c r="SPY4" s="68"/>
      <c r="SPZ4" s="68"/>
      <c r="SQA4" s="68"/>
      <c r="SQB4" s="91"/>
      <c r="SQC4" s="67"/>
      <c r="SQD4" s="76"/>
      <c r="SQE4" s="72"/>
      <c r="SQF4" s="72"/>
      <c r="SQG4" s="67"/>
      <c r="SQH4" s="67"/>
      <c r="SQI4" s="68"/>
      <c r="SQJ4" s="68"/>
      <c r="SQK4" s="68"/>
      <c r="SQL4" s="68"/>
      <c r="SQM4" s="67"/>
      <c r="SSM4" s="67"/>
      <c r="SSN4" s="67"/>
      <c r="SSO4" s="67"/>
      <c r="SSP4" s="39"/>
      <c r="SSQ4" s="40"/>
      <c r="SSR4" s="39"/>
      <c r="SSS4" s="67"/>
      <c r="SST4" s="67"/>
      <c r="SSU4" s="68"/>
      <c r="SSV4" s="68"/>
      <c r="SSW4" s="68"/>
      <c r="SSX4" s="68"/>
      <c r="SSY4" s="91"/>
      <c r="SSZ4" s="67"/>
      <c r="STA4" s="76"/>
      <c r="STB4" s="72"/>
      <c r="STC4" s="72"/>
      <c r="STD4" s="67"/>
      <c r="STE4" s="67"/>
      <c r="STF4" s="68"/>
      <c r="STG4" s="68"/>
      <c r="STH4" s="68"/>
      <c r="STI4" s="68"/>
      <c r="STJ4" s="67"/>
      <c r="SVJ4" s="67"/>
      <c r="SVK4" s="67"/>
      <c r="SVL4" s="67"/>
      <c r="SVM4" s="39"/>
      <c r="SVN4" s="40"/>
      <c r="SVO4" s="39"/>
      <c r="SVP4" s="67"/>
      <c r="SVQ4" s="67"/>
      <c r="SVR4" s="68"/>
      <c r="SVS4" s="68"/>
      <c r="SVT4" s="68"/>
      <c r="SVU4" s="68"/>
      <c r="SVV4" s="91"/>
      <c r="SVW4" s="67"/>
      <c r="SVX4" s="76"/>
      <c r="SVY4" s="72"/>
      <c r="SVZ4" s="72"/>
      <c r="SWA4" s="67"/>
      <c r="SWB4" s="67"/>
      <c r="SWC4" s="68"/>
      <c r="SWD4" s="68"/>
      <c r="SWE4" s="68"/>
      <c r="SWF4" s="68"/>
      <c r="SWG4" s="67"/>
      <c r="SYG4" s="67"/>
      <c r="SYH4" s="67"/>
      <c r="SYI4" s="67"/>
      <c r="SYJ4" s="39"/>
      <c r="SYK4" s="40"/>
      <c r="SYL4" s="39"/>
      <c r="SYM4" s="67"/>
      <c r="SYN4" s="67"/>
      <c r="SYO4" s="68"/>
      <c r="SYP4" s="68"/>
      <c r="SYQ4" s="68"/>
      <c r="SYR4" s="68"/>
      <c r="SYS4" s="91"/>
      <c r="SYT4" s="67"/>
      <c r="SYU4" s="76"/>
      <c r="SYV4" s="72"/>
      <c r="SYW4" s="72"/>
      <c r="SYX4" s="67"/>
      <c r="SYY4" s="67"/>
      <c r="SYZ4" s="68"/>
      <c r="SZA4" s="68"/>
      <c r="SZB4" s="68"/>
      <c r="SZC4" s="68"/>
      <c r="SZD4" s="67"/>
      <c r="TBD4" s="67"/>
      <c r="TBE4" s="67"/>
      <c r="TBF4" s="67"/>
      <c r="TBG4" s="39"/>
      <c r="TBH4" s="40"/>
      <c r="TBI4" s="39"/>
      <c r="TBJ4" s="67"/>
      <c r="TBK4" s="67"/>
      <c r="TBL4" s="68"/>
      <c r="TBM4" s="68"/>
      <c r="TBN4" s="68"/>
      <c r="TBO4" s="68"/>
      <c r="TBP4" s="91"/>
      <c r="TBQ4" s="67"/>
      <c r="TBR4" s="76"/>
      <c r="TBS4" s="72"/>
      <c r="TBT4" s="72"/>
      <c r="TBU4" s="67"/>
      <c r="TBV4" s="67"/>
      <c r="TBW4" s="68"/>
      <c r="TBX4" s="68"/>
      <c r="TBY4" s="68"/>
      <c r="TBZ4" s="68"/>
      <c r="TCA4" s="67"/>
      <c r="TEA4" s="67"/>
      <c r="TEB4" s="67"/>
      <c r="TEC4" s="67"/>
      <c r="TED4" s="39"/>
      <c r="TEE4" s="40"/>
      <c r="TEF4" s="39"/>
      <c r="TEG4" s="67"/>
      <c r="TEH4" s="67"/>
      <c r="TEI4" s="68"/>
      <c r="TEJ4" s="68"/>
      <c r="TEK4" s="68"/>
      <c r="TEL4" s="68"/>
      <c r="TEM4" s="91"/>
      <c r="TEN4" s="67"/>
      <c r="TEO4" s="76"/>
      <c r="TEP4" s="72"/>
      <c r="TEQ4" s="72"/>
      <c r="TER4" s="67"/>
      <c r="TES4" s="67"/>
      <c r="TET4" s="68"/>
      <c r="TEU4" s="68"/>
      <c r="TEV4" s="68"/>
      <c r="TEW4" s="68"/>
      <c r="TEX4" s="67"/>
      <c r="TGX4" s="67"/>
      <c r="TGY4" s="67"/>
      <c r="TGZ4" s="67"/>
      <c r="THA4" s="39"/>
      <c r="THB4" s="40"/>
      <c r="THC4" s="39"/>
      <c r="THD4" s="67"/>
      <c r="THE4" s="67"/>
      <c r="THF4" s="68"/>
      <c r="THG4" s="68"/>
      <c r="THH4" s="68"/>
      <c r="THI4" s="68"/>
      <c r="THJ4" s="91"/>
      <c r="THK4" s="67"/>
      <c r="THL4" s="76"/>
      <c r="THM4" s="72"/>
      <c r="THN4" s="72"/>
      <c r="THO4" s="67"/>
      <c r="THP4" s="67"/>
      <c r="THQ4" s="68"/>
      <c r="THR4" s="68"/>
      <c r="THS4" s="68"/>
      <c r="THT4" s="68"/>
      <c r="THU4" s="67"/>
      <c r="TJU4" s="67"/>
      <c r="TJV4" s="67"/>
      <c r="TJW4" s="67"/>
      <c r="TJX4" s="39"/>
      <c r="TJY4" s="40"/>
      <c r="TJZ4" s="39"/>
      <c r="TKA4" s="67"/>
      <c r="TKB4" s="67"/>
      <c r="TKC4" s="68"/>
      <c r="TKD4" s="68"/>
      <c r="TKE4" s="68"/>
      <c r="TKF4" s="68"/>
      <c r="TKG4" s="91"/>
      <c r="TKH4" s="67"/>
      <c r="TKI4" s="76"/>
      <c r="TKJ4" s="72"/>
      <c r="TKK4" s="72"/>
      <c r="TKL4" s="67"/>
      <c r="TKM4" s="67"/>
      <c r="TKN4" s="68"/>
      <c r="TKO4" s="68"/>
      <c r="TKP4" s="68"/>
      <c r="TKQ4" s="68"/>
      <c r="TKR4" s="67"/>
      <c r="TMR4" s="67"/>
      <c r="TMS4" s="67"/>
      <c r="TMT4" s="67"/>
      <c r="TMU4" s="39"/>
      <c r="TMV4" s="40"/>
      <c r="TMW4" s="39"/>
      <c r="TMX4" s="67"/>
      <c r="TMY4" s="67"/>
      <c r="TMZ4" s="68"/>
      <c r="TNA4" s="68"/>
      <c r="TNB4" s="68"/>
      <c r="TNC4" s="68"/>
      <c r="TND4" s="91"/>
      <c r="TNE4" s="67"/>
      <c r="TNF4" s="76"/>
      <c r="TNG4" s="72"/>
      <c r="TNH4" s="72"/>
      <c r="TNI4" s="67"/>
      <c r="TNJ4" s="67"/>
      <c r="TNK4" s="68"/>
      <c r="TNL4" s="68"/>
      <c r="TNM4" s="68"/>
      <c r="TNN4" s="68"/>
      <c r="TNO4" s="67"/>
      <c r="TPO4" s="67"/>
      <c r="TPP4" s="67"/>
      <c r="TPQ4" s="67"/>
      <c r="TPR4" s="39"/>
      <c r="TPS4" s="40"/>
      <c r="TPT4" s="39"/>
      <c r="TPU4" s="67"/>
      <c r="TPV4" s="67"/>
      <c r="TPW4" s="68"/>
      <c r="TPX4" s="68"/>
      <c r="TPY4" s="68"/>
      <c r="TPZ4" s="68"/>
      <c r="TQA4" s="91"/>
      <c r="TQB4" s="67"/>
      <c r="TQC4" s="76"/>
      <c r="TQD4" s="72"/>
      <c r="TQE4" s="72"/>
      <c r="TQF4" s="67"/>
      <c r="TQG4" s="67"/>
      <c r="TQH4" s="68"/>
      <c r="TQI4" s="68"/>
      <c r="TQJ4" s="68"/>
      <c r="TQK4" s="68"/>
      <c r="TQL4" s="67"/>
      <c r="TSL4" s="67"/>
      <c r="TSM4" s="67"/>
      <c r="TSN4" s="67"/>
      <c r="TSO4" s="39"/>
      <c r="TSP4" s="40"/>
      <c r="TSQ4" s="39"/>
      <c r="TSR4" s="67"/>
      <c r="TSS4" s="67"/>
      <c r="TST4" s="68"/>
      <c r="TSU4" s="68"/>
      <c r="TSV4" s="68"/>
      <c r="TSW4" s="68"/>
      <c r="TSX4" s="91"/>
      <c r="TSY4" s="67"/>
      <c r="TSZ4" s="76"/>
      <c r="TTA4" s="72"/>
      <c r="TTB4" s="72"/>
      <c r="TTC4" s="67"/>
      <c r="TTD4" s="67"/>
      <c r="TTE4" s="68"/>
      <c r="TTF4" s="68"/>
      <c r="TTG4" s="68"/>
      <c r="TTH4" s="68"/>
      <c r="TTI4" s="67"/>
      <c r="TVI4" s="67"/>
      <c r="TVJ4" s="67"/>
      <c r="TVK4" s="67"/>
      <c r="TVL4" s="39"/>
      <c r="TVM4" s="40"/>
      <c r="TVN4" s="39"/>
      <c r="TVO4" s="67"/>
      <c r="TVP4" s="67"/>
      <c r="TVQ4" s="68"/>
      <c r="TVR4" s="68"/>
      <c r="TVS4" s="68"/>
      <c r="TVT4" s="68"/>
      <c r="TVU4" s="91"/>
      <c r="TVV4" s="67"/>
      <c r="TVW4" s="76"/>
      <c r="TVX4" s="72"/>
      <c r="TVY4" s="72"/>
      <c r="TVZ4" s="67"/>
      <c r="TWA4" s="67"/>
      <c r="TWB4" s="68"/>
      <c r="TWC4" s="68"/>
      <c r="TWD4" s="68"/>
      <c r="TWE4" s="68"/>
      <c r="TWF4" s="67"/>
      <c r="TYF4" s="67"/>
      <c r="TYG4" s="67"/>
      <c r="TYH4" s="67"/>
      <c r="TYI4" s="39"/>
      <c r="TYJ4" s="40"/>
      <c r="TYK4" s="39"/>
      <c r="TYL4" s="67"/>
      <c r="TYM4" s="67"/>
      <c r="TYN4" s="68"/>
      <c r="TYO4" s="68"/>
      <c r="TYP4" s="68"/>
      <c r="TYQ4" s="68"/>
      <c r="TYR4" s="91"/>
      <c r="TYS4" s="67"/>
      <c r="TYT4" s="76"/>
      <c r="TYU4" s="72"/>
      <c r="TYV4" s="72"/>
      <c r="TYW4" s="67"/>
      <c r="TYX4" s="67"/>
      <c r="TYY4" s="68"/>
      <c r="TYZ4" s="68"/>
      <c r="TZA4" s="68"/>
      <c r="TZB4" s="68"/>
      <c r="TZC4" s="67"/>
      <c r="UBC4" s="67"/>
      <c r="UBD4" s="67"/>
      <c r="UBE4" s="67"/>
      <c r="UBF4" s="39"/>
      <c r="UBG4" s="40"/>
      <c r="UBH4" s="39"/>
      <c r="UBI4" s="67"/>
      <c r="UBJ4" s="67"/>
      <c r="UBK4" s="68"/>
      <c r="UBL4" s="68"/>
      <c r="UBM4" s="68"/>
      <c r="UBN4" s="68"/>
      <c r="UBO4" s="91"/>
      <c r="UBP4" s="67"/>
      <c r="UBQ4" s="76"/>
      <c r="UBR4" s="72"/>
      <c r="UBS4" s="72"/>
      <c r="UBT4" s="67"/>
      <c r="UBU4" s="67"/>
      <c r="UBV4" s="68"/>
      <c r="UBW4" s="68"/>
      <c r="UBX4" s="68"/>
      <c r="UBY4" s="68"/>
      <c r="UBZ4" s="67"/>
      <c r="UDZ4" s="67"/>
      <c r="UEA4" s="67"/>
      <c r="UEB4" s="67"/>
      <c r="UEC4" s="39"/>
      <c r="UED4" s="40"/>
      <c r="UEE4" s="39"/>
      <c r="UEF4" s="67"/>
      <c r="UEG4" s="67"/>
      <c r="UEH4" s="68"/>
      <c r="UEI4" s="68"/>
      <c r="UEJ4" s="68"/>
      <c r="UEK4" s="68"/>
      <c r="UEL4" s="91"/>
      <c r="UEM4" s="67"/>
      <c r="UEN4" s="76"/>
      <c r="UEO4" s="72"/>
      <c r="UEP4" s="72"/>
      <c r="UEQ4" s="67"/>
      <c r="UER4" s="67"/>
      <c r="UES4" s="68"/>
      <c r="UET4" s="68"/>
      <c r="UEU4" s="68"/>
      <c r="UEV4" s="68"/>
      <c r="UEW4" s="67"/>
      <c r="UGW4" s="67"/>
      <c r="UGX4" s="67"/>
      <c r="UGY4" s="67"/>
      <c r="UGZ4" s="39"/>
      <c r="UHA4" s="40"/>
      <c r="UHB4" s="39"/>
      <c r="UHC4" s="67"/>
      <c r="UHD4" s="67"/>
      <c r="UHE4" s="68"/>
      <c r="UHF4" s="68"/>
      <c r="UHG4" s="68"/>
      <c r="UHH4" s="68"/>
      <c r="UHI4" s="91"/>
      <c r="UHJ4" s="67"/>
      <c r="UHK4" s="76"/>
      <c r="UHL4" s="72"/>
      <c r="UHM4" s="72"/>
      <c r="UHN4" s="67"/>
      <c r="UHO4" s="67"/>
      <c r="UHP4" s="68"/>
      <c r="UHQ4" s="68"/>
      <c r="UHR4" s="68"/>
      <c r="UHS4" s="68"/>
      <c r="UHT4" s="67"/>
      <c r="UJT4" s="67"/>
      <c r="UJU4" s="67"/>
      <c r="UJV4" s="67"/>
      <c r="UJW4" s="39"/>
      <c r="UJX4" s="40"/>
      <c r="UJY4" s="39"/>
      <c r="UJZ4" s="67"/>
      <c r="UKA4" s="67"/>
      <c r="UKB4" s="68"/>
      <c r="UKC4" s="68"/>
      <c r="UKD4" s="68"/>
      <c r="UKE4" s="68"/>
      <c r="UKF4" s="91"/>
      <c r="UKG4" s="67"/>
      <c r="UKH4" s="76"/>
      <c r="UKI4" s="72"/>
      <c r="UKJ4" s="72"/>
      <c r="UKK4" s="67"/>
      <c r="UKL4" s="67"/>
      <c r="UKM4" s="68"/>
      <c r="UKN4" s="68"/>
      <c r="UKO4" s="68"/>
      <c r="UKP4" s="68"/>
      <c r="UKQ4" s="67"/>
      <c r="UMQ4" s="67"/>
      <c r="UMR4" s="67"/>
      <c r="UMS4" s="67"/>
      <c r="UMT4" s="39"/>
      <c r="UMU4" s="40"/>
      <c r="UMV4" s="39"/>
      <c r="UMW4" s="67"/>
      <c r="UMX4" s="67"/>
      <c r="UMY4" s="68"/>
      <c r="UMZ4" s="68"/>
      <c r="UNA4" s="68"/>
      <c r="UNB4" s="68"/>
      <c r="UNC4" s="91"/>
      <c r="UND4" s="67"/>
      <c r="UNE4" s="76"/>
      <c r="UNF4" s="72"/>
      <c r="UNG4" s="72"/>
      <c r="UNH4" s="67"/>
      <c r="UNI4" s="67"/>
      <c r="UNJ4" s="68"/>
      <c r="UNK4" s="68"/>
      <c r="UNL4" s="68"/>
      <c r="UNM4" s="68"/>
      <c r="UNN4" s="67"/>
      <c r="UPN4" s="67"/>
      <c r="UPO4" s="67"/>
      <c r="UPP4" s="67"/>
      <c r="UPQ4" s="39"/>
      <c r="UPR4" s="40"/>
      <c r="UPS4" s="39"/>
      <c r="UPT4" s="67"/>
      <c r="UPU4" s="67"/>
      <c r="UPV4" s="68"/>
      <c r="UPW4" s="68"/>
      <c r="UPX4" s="68"/>
      <c r="UPY4" s="68"/>
      <c r="UPZ4" s="91"/>
      <c r="UQA4" s="67"/>
      <c r="UQB4" s="76"/>
      <c r="UQC4" s="72"/>
      <c r="UQD4" s="72"/>
      <c r="UQE4" s="67"/>
      <c r="UQF4" s="67"/>
      <c r="UQG4" s="68"/>
      <c r="UQH4" s="68"/>
      <c r="UQI4" s="68"/>
      <c r="UQJ4" s="68"/>
      <c r="UQK4" s="67"/>
      <c r="USK4" s="67"/>
      <c r="USL4" s="67"/>
      <c r="USM4" s="67"/>
      <c r="USN4" s="39"/>
      <c r="USO4" s="40"/>
      <c r="USP4" s="39"/>
      <c r="USQ4" s="67"/>
      <c r="USR4" s="67"/>
      <c r="USS4" s="68"/>
      <c r="UST4" s="68"/>
      <c r="USU4" s="68"/>
      <c r="USV4" s="68"/>
      <c r="USW4" s="91"/>
      <c r="USX4" s="67"/>
      <c r="USY4" s="76"/>
      <c r="USZ4" s="72"/>
      <c r="UTA4" s="72"/>
      <c r="UTB4" s="67"/>
      <c r="UTC4" s="67"/>
      <c r="UTD4" s="68"/>
      <c r="UTE4" s="68"/>
      <c r="UTF4" s="68"/>
      <c r="UTG4" s="68"/>
      <c r="UTH4" s="67"/>
      <c r="UVH4" s="67"/>
      <c r="UVI4" s="67"/>
      <c r="UVJ4" s="67"/>
      <c r="UVK4" s="39"/>
      <c r="UVL4" s="40"/>
      <c r="UVM4" s="39"/>
      <c r="UVN4" s="67"/>
      <c r="UVO4" s="67"/>
      <c r="UVP4" s="68"/>
      <c r="UVQ4" s="68"/>
      <c r="UVR4" s="68"/>
      <c r="UVS4" s="68"/>
      <c r="UVT4" s="91"/>
      <c r="UVU4" s="67"/>
      <c r="UVV4" s="76"/>
      <c r="UVW4" s="72"/>
      <c r="UVX4" s="72"/>
      <c r="UVY4" s="67"/>
      <c r="UVZ4" s="67"/>
      <c r="UWA4" s="68"/>
      <c r="UWB4" s="68"/>
      <c r="UWC4" s="68"/>
      <c r="UWD4" s="68"/>
      <c r="UWE4" s="67"/>
      <c r="UYE4" s="67"/>
      <c r="UYF4" s="67"/>
      <c r="UYG4" s="67"/>
      <c r="UYH4" s="39"/>
      <c r="UYI4" s="40"/>
      <c r="UYJ4" s="39"/>
      <c r="UYK4" s="67"/>
      <c r="UYL4" s="67"/>
      <c r="UYM4" s="68"/>
      <c r="UYN4" s="68"/>
      <c r="UYO4" s="68"/>
      <c r="UYP4" s="68"/>
      <c r="UYQ4" s="91"/>
      <c r="UYR4" s="67"/>
      <c r="UYS4" s="76"/>
      <c r="UYT4" s="72"/>
      <c r="UYU4" s="72"/>
      <c r="UYV4" s="67"/>
      <c r="UYW4" s="67"/>
      <c r="UYX4" s="68"/>
      <c r="UYY4" s="68"/>
      <c r="UYZ4" s="68"/>
      <c r="UZA4" s="68"/>
      <c r="UZB4" s="67"/>
      <c r="VBB4" s="67"/>
      <c r="VBC4" s="67"/>
      <c r="VBD4" s="67"/>
      <c r="VBE4" s="39"/>
      <c r="VBF4" s="40"/>
      <c r="VBG4" s="39"/>
      <c r="VBH4" s="67"/>
      <c r="VBI4" s="67"/>
      <c r="VBJ4" s="68"/>
      <c r="VBK4" s="68"/>
      <c r="VBL4" s="68"/>
      <c r="VBM4" s="68"/>
      <c r="VBN4" s="91"/>
      <c r="VBO4" s="67"/>
      <c r="VBP4" s="76"/>
      <c r="VBQ4" s="72"/>
      <c r="VBR4" s="72"/>
      <c r="VBS4" s="67"/>
      <c r="VBT4" s="67"/>
      <c r="VBU4" s="68"/>
      <c r="VBV4" s="68"/>
      <c r="VBW4" s="68"/>
      <c r="VBX4" s="68"/>
      <c r="VBY4" s="67"/>
      <c r="VDY4" s="67"/>
      <c r="VDZ4" s="67"/>
      <c r="VEA4" s="67"/>
      <c r="VEB4" s="39"/>
      <c r="VEC4" s="40"/>
      <c r="VED4" s="39"/>
      <c r="VEE4" s="67"/>
      <c r="VEF4" s="67"/>
      <c r="VEG4" s="68"/>
      <c r="VEH4" s="68"/>
      <c r="VEI4" s="68"/>
      <c r="VEJ4" s="68"/>
      <c r="VEK4" s="91"/>
      <c r="VEL4" s="67"/>
      <c r="VEM4" s="76"/>
      <c r="VEN4" s="72"/>
      <c r="VEO4" s="72"/>
      <c r="VEP4" s="67"/>
      <c r="VEQ4" s="67"/>
      <c r="VER4" s="68"/>
      <c r="VES4" s="68"/>
      <c r="VET4" s="68"/>
      <c r="VEU4" s="68"/>
      <c r="VEV4" s="67"/>
      <c r="VGV4" s="67"/>
      <c r="VGW4" s="67"/>
      <c r="VGX4" s="67"/>
      <c r="VGY4" s="39"/>
      <c r="VGZ4" s="40"/>
      <c r="VHA4" s="39"/>
      <c r="VHB4" s="67"/>
      <c r="VHC4" s="67"/>
      <c r="VHD4" s="68"/>
      <c r="VHE4" s="68"/>
      <c r="VHF4" s="68"/>
      <c r="VHG4" s="68"/>
      <c r="VHH4" s="91"/>
      <c r="VHI4" s="67"/>
      <c r="VHJ4" s="76"/>
      <c r="VHK4" s="72"/>
      <c r="VHL4" s="72"/>
      <c r="VHM4" s="67"/>
      <c r="VHN4" s="67"/>
      <c r="VHO4" s="68"/>
      <c r="VHP4" s="68"/>
      <c r="VHQ4" s="68"/>
      <c r="VHR4" s="68"/>
      <c r="VHS4" s="67"/>
      <c r="VJS4" s="67"/>
      <c r="VJT4" s="67"/>
      <c r="VJU4" s="67"/>
      <c r="VJV4" s="39"/>
      <c r="VJW4" s="40"/>
      <c r="VJX4" s="39"/>
      <c r="VJY4" s="67"/>
      <c r="VJZ4" s="67"/>
      <c r="VKA4" s="68"/>
      <c r="VKB4" s="68"/>
      <c r="VKC4" s="68"/>
      <c r="VKD4" s="68"/>
      <c r="VKE4" s="91"/>
      <c r="VKF4" s="67"/>
      <c r="VKG4" s="76"/>
      <c r="VKH4" s="72"/>
      <c r="VKI4" s="72"/>
      <c r="VKJ4" s="67"/>
      <c r="VKK4" s="67"/>
      <c r="VKL4" s="68"/>
      <c r="VKM4" s="68"/>
      <c r="VKN4" s="68"/>
      <c r="VKO4" s="68"/>
      <c r="VKP4" s="67"/>
      <c r="VMP4" s="67"/>
      <c r="VMQ4" s="67"/>
      <c r="VMR4" s="67"/>
      <c r="VMS4" s="39"/>
      <c r="VMT4" s="40"/>
      <c r="VMU4" s="39"/>
      <c r="VMV4" s="67"/>
      <c r="VMW4" s="67"/>
      <c r="VMX4" s="68"/>
      <c r="VMY4" s="68"/>
      <c r="VMZ4" s="68"/>
      <c r="VNA4" s="68"/>
      <c r="VNB4" s="91"/>
      <c r="VNC4" s="67"/>
      <c r="VND4" s="76"/>
      <c r="VNE4" s="72"/>
      <c r="VNF4" s="72"/>
      <c r="VNG4" s="67"/>
      <c r="VNH4" s="67"/>
      <c r="VNI4" s="68"/>
      <c r="VNJ4" s="68"/>
      <c r="VNK4" s="68"/>
      <c r="VNL4" s="68"/>
      <c r="VNM4" s="67"/>
      <c r="VPM4" s="67"/>
      <c r="VPN4" s="67"/>
      <c r="VPO4" s="67"/>
      <c r="VPP4" s="39"/>
      <c r="VPQ4" s="40"/>
      <c r="VPR4" s="39"/>
      <c r="VPS4" s="67"/>
      <c r="VPT4" s="67"/>
      <c r="VPU4" s="68"/>
      <c r="VPV4" s="68"/>
      <c r="VPW4" s="68"/>
      <c r="VPX4" s="68"/>
      <c r="VPY4" s="91"/>
      <c r="VPZ4" s="67"/>
      <c r="VQA4" s="76"/>
      <c r="VQB4" s="72"/>
      <c r="VQC4" s="72"/>
      <c r="VQD4" s="67"/>
      <c r="VQE4" s="67"/>
      <c r="VQF4" s="68"/>
      <c r="VQG4" s="68"/>
      <c r="VQH4" s="68"/>
      <c r="VQI4" s="68"/>
      <c r="VQJ4" s="67"/>
      <c r="VSJ4" s="67"/>
      <c r="VSK4" s="67"/>
      <c r="VSL4" s="67"/>
      <c r="VSM4" s="39"/>
      <c r="VSN4" s="40"/>
      <c r="VSO4" s="39"/>
      <c r="VSP4" s="67"/>
      <c r="VSQ4" s="67"/>
      <c r="VSR4" s="68"/>
      <c r="VSS4" s="68"/>
      <c r="VST4" s="68"/>
      <c r="VSU4" s="68"/>
      <c r="VSV4" s="91"/>
      <c r="VSW4" s="67"/>
      <c r="VSX4" s="76"/>
      <c r="VSY4" s="72"/>
      <c r="VSZ4" s="72"/>
      <c r="VTA4" s="67"/>
      <c r="VTB4" s="67"/>
      <c r="VTC4" s="68"/>
      <c r="VTD4" s="68"/>
      <c r="VTE4" s="68"/>
      <c r="VTF4" s="68"/>
      <c r="VTG4" s="67"/>
      <c r="VVG4" s="67"/>
      <c r="VVH4" s="67"/>
      <c r="VVI4" s="67"/>
      <c r="VVJ4" s="39"/>
      <c r="VVK4" s="40"/>
      <c r="VVL4" s="39"/>
      <c r="VVM4" s="67"/>
      <c r="VVN4" s="67"/>
      <c r="VVO4" s="68"/>
      <c r="VVP4" s="68"/>
      <c r="VVQ4" s="68"/>
      <c r="VVR4" s="68"/>
      <c r="VVS4" s="91"/>
      <c r="VVT4" s="67"/>
      <c r="VVU4" s="76"/>
      <c r="VVV4" s="72"/>
      <c r="VVW4" s="72"/>
      <c r="VVX4" s="67"/>
      <c r="VVY4" s="67"/>
      <c r="VVZ4" s="68"/>
      <c r="VWA4" s="68"/>
      <c r="VWB4" s="68"/>
      <c r="VWC4" s="68"/>
      <c r="VWD4" s="67"/>
      <c r="VYD4" s="67"/>
      <c r="VYE4" s="67"/>
      <c r="VYF4" s="67"/>
      <c r="VYG4" s="39"/>
      <c r="VYH4" s="40"/>
      <c r="VYI4" s="39"/>
      <c r="VYJ4" s="67"/>
      <c r="VYK4" s="67"/>
      <c r="VYL4" s="68"/>
      <c r="VYM4" s="68"/>
      <c r="VYN4" s="68"/>
      <c r="VYO4" s="68"/>
      <c r="VYP4" s="91"/>
      <c r="VYQ4" s="67"/>
      <c r="VYR4" s="76"/>
      <c r="VYS4" s="72"/>
      <c r="VYT4" s="72"/>
      <c r="VYU4" s="67"/>
      <c r="VYV4" s="67"/>
      <c r="VYW4" s="68"/>
      <c r="VYX4" s="68"/>
      <c r="VYY4" s="68"/>
      <c r="VYZ4" s="68"/>
      <c r="VZA4" s="67"/>
      <c r="WBA4" s="67"/>
      <c r="WBB4" s="67"/>
      <c r="WBC4" s="67"/>
      <c r="WBD4" s="39"/>
      <c r="WBE4" s="40"/>
      <c r="WBF4" s="39"/>
      <c r="WBG4" s="67"/>
      <c r="WBH4" s="67"/>
      <c r="WBI4" s="68"/>
      <c r="WBJ4" s="68"/>
      <c r="WBK4" s="68"/>
      <c r="WBL4" s="68"/>
      <c r="WBM4" s="91"/>
      <c r="WBN4" s="67"/>
      <c r="WBO4" s="76"/>
      <c r="WBP4" s="72"/>
      <c r="WBQ4" s="72"/>
      <c r="WBR4" s="67"/>
      <c r="WBS4" s="67"/>
      <c r="WBT4" s="68"/>
      <c r="WBU4" s="68"/>
      <c r="WBV4" s="68"/>
      <c r="WBW4" s="68"/>
      <c r="WBX4" s="67"/>
      <c r="WDX4" s="67"/>
      <c r="WDY4" s="67"/>
      <c r="WDZ4" s="67"/>
      <c r="WEA4" s="39"/>
      <c r="WEB4" s="40"/>
      <c r="WEC4" s="39"/>
      <c r="WED4" s="67"/>
      <c r="WEE4" s="67"/>
      <c r="WEF4" s="68"/>
      <c r="WEG4" s="68"/>
      <c r="WEH4" s="68"/>
      <c r="WEI4" s="68"/>
      <c r="WEJ4" s="91"/>
      <c r="WEK4" s="67"/>
      <c r="WEL4" s="76"/>
      <c r="WEM4" s="72"/>
      <c r="WEN4" s="72"/>
      <c r="WEO4" s="67"/>
      <c r="WEP4" s="67"/>
      <c r="WEQ4" s="68"/>
      <c r="WER4" s="68"/>
      <c r="WES4" s="68"/>
      <c r="WET4" s="68"/>
      <c r="WEU4" s="67"/>
      <c r="WGU4" s="67"/>
      <c r="WGV4" s="67"/>
      <c r="WGW4" s="67"/>
      <c r="WGX4" s="39"/>
      <c r="WGY4" s="40"/>
      <c r="WGZ4" s="39"/>
      <c r="WHA4" s="67"/>
      <c r="WHB4" s="67"/>
      <c r="WHC4" s="68"/>
      <c r="WHD4" s="68"/>
      <c r="WHE4" s="68"/>
      <c r="WHF4" s="68"/>
      <c r="WHG4" s="91"/>
      <c r="WHH4" s="67"/>
      <c r="WHI4" s="76"/>
      <c r="WHJ4" s="72"/>
      <c r="WHK4" s="72"/>
      <c r="WHL4" s="67"/>
      <c r="WHM4" s="67"/>
      <c r="WHN4" s="68"/>
      <c r="WHO4" s="68"/>
      <c r="WHP4" s="68"/>
      <c r="WHQ4" s="68"/>
      <c r="WHR4" s="67"/>
      <c r="WJR4" s="67"/>
      <c r="WJS4" s="67"/>
      <c r="WJT4" s="67"/>
      <c r="WJU4" s="39"/>
      <c r="WJV4" s="40"/>
      <c r="WJW4" s="39"/>
      <c r="WJX4" s="67"/>
      <c r="WJY4" s="67"/>
      <c r="WJZ4" s="68"/>
      <c r="WKA4" s="68"/>
      <c r="WKB4" s="68"/>
      <c r="WKC4" s="68"/>
      <c r="WKD4" s="91"/>
      <c r="WKE4" s="67"/>
      <c r="WKF4" s="76"/>
      <c r="WKG4" s="72"/>
      <c r="WKH4" s="72"/>
      <c r="WKI4" s="67"/>
      <c r="WKJ4" s="67"/>
      <c r="WKK4" s="68"/>
      <c r="WKL4" s="68"/>
      <c r="WKM4" s="68"/>
      <c r="WKN4" s="68"/>
      <c r="WKO4" s="67"/>
      <c r="WMO4" s="67"/>
      <c r="WMP4" s="67"/>
      <c r="WMQ4" s="67"/>
      <c r="WMR4" s="39"/>
      <c r="WMS4" s="40"/>
      <c r="WMT4" s="39"/>
      <c r="WMU4" s="67"/>
      <c r="WMV4" s="67"/>
      <c r="WMW4" s="68"/>
      <c r="WMX4" s="68"/>
      <c r="WMY4" s="68"/>
      <c r="WMZ4" s="68"/>
      <c r="WNA4" s="91"/>
      <c r="WNB4" s="67"/>
      <c r="WNC4" s="76"/>
      <c r="WND4" s="72"/>
      <c r="WNE4" s="72"/>
      <c r="WNF4" s="67"/>
      <c r="WNG4" s="67"/>
      <c r="WNH4" s="68"/>
      <c r="WNI4" s="68"/>
      <c r="WNJ4" s="68"/>
      <c r="WNK4" s="68"/>
      <c r="WNL4" s="67"/>
      <c r="WPL4" s="67"/>
      <c r="WPM4" s="67"/>
      <c r="WPN4" s="67"/>
      <c r="WPO4" s="39"/>
      <c r="WPP4" s="40"/>
      <c r="WPQ4" s="39"/>
      <c r="WPR4" s="67"/>
      <c r="WPS4" s="67"/>
      <c r="WPT4" s="68"/>
      <c r="WPU4" s="68"/>
      <c r="WPV4" s="68"/>
      <c r="WPW4" s="68"/>
      <c r="WPX4" s="91"/>
      <c r="WPY4" s="67"/>
      <c r="WPZ4" s="76"/>
      <c r="WQA4" s="72"/>
      <c r="WQB4" s="72"/>
      <c r="WQC4" s="67"/>
      <c r="WQD4" s="67"/>
      <c r="WQE4" s="68"/>
      <c r="WQF4" s="68"/>
      <c r="WQG4" s="68"/>
      <c r="WQH4" s="68"/>
      <c r="WQI4" s="67"/>
      <c r="WSI4" s="67"/>
      <c r="WSJ4" s="67"/>
      <c r="WSK4" s="67"/>
      <c r="WSL4" s="39"/>
      <c r="WSM4" s="40"/>
      <c r="WSN4" s="39"/>
      <c r="WSO4" s="67"/>
      <c r="WSP4" s="67"/>
      <c r="WSQ4" s="68"/>
      <c r="WSR4" s="68"/>
      <c r="WSS4" s="68"/>
      <c r="WST4" s="68"/>
      <c r="WSU4" s="91"/>
      <c r="WSV4" s="67"/>
      <c r="WSW4" s="76"/>
      <c r="WSX4" s="72"/>
      <c r="WSY4" s="72"/>
      <c r="WSZ4" s="67"/>
      <c r="WTA4" s="67"/>
      <c r="WTB4" s="68"/>
      <c r="WTC4" s="68"/>
      <c r="WTD4" s="68"/>
      <c r="WTE4" s="68"/>
      <c r="WTF4" s="67"/>
      <c r="WVF4" s="67"/>
      <c r="WVG4" s="67"/>
      <c r="WVH4" s="67"/>
      <c r="WVI4" s="39"/>
      <c r="WVJ4" s="40"/>
      <c r="WVK4" s="39"/>
      <c r="WVL4" s="67"/>
      <c r="WVM4" s="67"/>
      <c r="WVN4" s="68"/>
      <c r="WVO4" s="68"/>
      <c r="WVP4" s="68"/>
      <c r="WVQ4" s="68"/>
      <c r="WVR4" s="91"/>
      <c r="WVS4" s="67"/>
      <c r="WVT4" s="76"/>
      <c r="WVU4" s="72"/>
      <c r="WVV4" s="72"/>
      <c r="WVW4" s="67"/>
      <c r="WVX4" s="67"/>
      <c r="WVY4" s="68"/>
      <c r="WVZ4" s="68"/>
      <c r="WWA4" s="68"/>
      <c r="WWB4" s="68"/>
      <c r="WWC4" s="67"/>
      <c r="WYC4" s="67"/>
      <c r="WYD4" s="67"/>
      <c r="WYE4" s="67"/>
      <c r="WYF4" s="39"/>
      <c r="WYG4" s="40"/>
      <c r="WYH4" s="39"/>
      <c r="WYI4" s="67"/>
      <c r="WYJ4" s="67"/>
      <c r="WYK4" s="68"/>
      <c r="WYL4" s="68"/>
      <c r="WYM4" s="68"/>
      <c r="WYN4" s="68"/>
      <c r="WYO4" s="91"/>
      <c r="WYP4" s="67"/>
      <c r="WYQ4" s="76"/>
      <c r="WYR4" s="72"/>
      <c r="WYS4" s="72"/>
      <c r="WYT4" s="67"/>
      <c r="WYU4" s="67"/>
      <c r="WYV4" s="68"/>
      <c r="WYW4" s="68"/>
      <c r="WYX4" s="68"/>
      <c r="WYY4" s="68"/>
      <c r="WYZ4" s="67"/>
      <c r="XAZ4" s="67"/>
      <c r="XBA4" s="67"/>
      <c r="XBB4" s="67"/>
      <c r="XBC4" s="39"/>
      <c r="XBD4" s="40"/>
      <c r="XBE4" s="39"/>
      <c r="XBF4" s="67"/>
      <c r="XBG4" s="67"/>
      <c r="XBH4" s="68"/>
      <c r="XBI4" s="68"/>
      <c r="XBJ4" s="68"/>
      <c r="XBK4" s="68"/>
      <c r="XBL4" s="91"/>
      <c r="XBM4" s="67"/>
      <c r="XBN4" s="76"/>
      <c r="XBO4" s="72"/>
      <c r="XBP4" s="72"/>
      <c r="XBQ4" s="67"/>
      <c r="XBR4" s="67"/>
      <c r="XBS4" s="68"/>
      <c r="XBT4" s="68"/>
      <c r="XBU4" s="68"/>
      <c r="XBV4" s="68"/>
      <c r="XBW4" s="67"/>
      <c r="XDW4" s="67"/>
      <c r="XDX4" s="67"/>
      <c r="XDY4" s="67"/>
      <c r="XDZ4" s="39"/>
      <c r="XEA4" s="40"/>
      <c r="XEB4" s="39"/>
      <c r="XEC4" s="67"/>
      <c r="XED4" s="67"/>
      <c r="XEE4" s="68"/>
      <c r="XEF4" s="68"/>
      <c r="XEG4" s="68"/>
      <c r="XEH4" s="68"/>
      <c r="XEI4" s="91"/>
      <c r="XEJ4" s="67"/>
      <c r="XEK4" s="76"/>
      <c r="XEL4" s="72"/>
      <c r="XEM4" s="72"/>
      <c r="XEN4" s="67"/>
      <c r="XEO4" s="67"/>
      <c r="XEP4" s="68"/>
      <c r="XEQ4" s="68"/>
      <c r="XER4" s="68"/>
      <c r="XES4" s="68"/>
      <c r="XET4" s="67"/>
    </row>
    <row r="5" spans="1:999 1051:3024 3076:4074 4126:6099 6151:7149 7201:9174 9226:10224 10276:12249 12301:13299 13351:15324 15376:16374" s="74" customFormat="1">
      <c r="A5" s="67" t="str">
        <f>CONCATENATE(INDEX([21]Parameters!$U$1:$V$20,MATCH(C5,[21]Parameters!$V$1:$V$20,0),1),"/",VLOOKUP(D5,[21]Parameters!$CG$1:$CH$12,2,0),".",E5,".",H5,".",LEFT(J5,3),"-",LEFT(K5,4))</f>
        <v>B74/20.P213.405.951-T103</v>
      </c>
      <c r="B5" s="67" t="s">
        <v>114</v>
      </c>
      <c r="C5" s="67" t="s">
        <v>114</v>
      </c>
      <c r="D5" s="39" t="s">
        <v>95</v>
      </c>
      <c r="E5" s="40" t="str">
        <f>VLOOKUP(F5,[21]Parameters!P:T,4,0)</f>
        <v>P213</v>
      </c>
      <c r="F5" s="39" t="s">
        <v>115</v>
      </c>
      <c r="G5" s="67"/>
      <c r="H5" s="67">
        <f>INDEX([21]Parameters!$B:$C,MATCH(I5,[21]Parameters!$C:$C,0),1)</f>
        <v>405</v>
      </c>
      <c r="I5" s="68" t="s">
        <v>98</v>
      </c>
      <c r="J5" s="68" t="s">
        <v>93</v>
      </c>
      <c r="K5" s="68" t="s">
        <v>99</v>
      </c>
      <c r="L5" s="68"/>
      <c r="M5" s="91"/>
      <c r="N5" s="67" t="s">
        <v>116</v>
      </c>
      <c r="O5" s="67"/>
      <c r="P5" s="72">
        <v>44927</v>
      </c>
      <c r="Q5" s="72">
        <v>45291</v>
      </c>
      <c r="R5" s="67"/>
      <c r="S5" s="67">
        <f t="shared" si="0"/>
        <v>12</v>
      </c>
      <c r="T5" s="68"/>
      <c r="U5" s="68">
        <v>11</v>
      </c>
      <c r="V5" s="68">
        <f>9816.55*0</f>
        <v>0</v>
      </c>
      <c r="W5" s="68" t="str">
        <f>IF(AND(ISNUMBER(SEARCH("-T",tblSOW4[[#This Row],[Budget Item]])),NOT(ISNUMBER(tblSOW4[[#This Row],[Task Units]]))),"Please Enter Task Units",
IF(AND(ISNUMBER(SEARCH("-E000",tblSOW4[[#This Row],[Budget Item]])),NOT(ISNUMBER(tblSOW4[[#This Row],[% work on project]]))),"Please Enter Organic FTE",
IF(AND(ISNUMBER(SEARCH("-E999",tblSOW4[[#This Row],[Budget Item]])),NOT(ISNUMBER(tblSOW4[[#This Row],[External Expenses/Revenues USD]]))),"Please Enter External Expenses",
"")))</f>
        <v/>
      </c>
      <c r="X5" s="67">
        <f>SUM(tblSOW4[[#This Row],[Jan 2023 USD]:[Dec 2023 USD]])</f>
        <v>9399.0122281666499</v>
      </c>
      <c r="Y5" s="74">
        <f>tblSOW4[[#This Row],[FTE Cost]]*tblSOW4[[#This Row],[% work on project]]*AK5/12+tblSOW4[[#This Row],[Task Cost]]*AW5+tblSOW4[[#This Row],[External Expenses/Revenues USD]]*BI5/tblSOW4[[#This Row],[Duration]]</f>
        <v>783.25101901388757</v>
      </c>
      <c r="Z5" s="74">
        <f>tblSOW4[[#This Row],[FTE Cost]]*tblSOW4[[#This Row],[% work on project]]*AL5/12+tblSOW4[[#This Row],[Task Cost]]*AX5+tblSOW4[[#This Row],[External Expenses/Revenues USD]]*BJ5/tblSOW4[[#This Row],[Duration]]</f>
        <v>783.25101901388757</v>
      </c>
      <c r="AA5" s="74">
        <f>tblSOW4[[#This Row],[FTE Cost]]*tblSOW4[[#This Row],[% work on project]]*AM5/12+tblSOW4[[#This Row],[Task Cost]]*AY5+tblSOW4[[#This Row],[External Expenses/Revenues USD]]*BK5/tblSOW4[[#This Row],[Duration]]</f>
        <v>783.25101901388757</v>
      </c>
      <c r="AB5" s="74">
        <f>tblSOW4[[#This Row],[FTE Cost]]*tblSOW4[[#This Row],[% work on project]]*AN5/12+tblSOW4[[#This Row],[Task Cost]]*AZ5+tblSOW4[[#This Row],[External Expenses/Revenues USD]]*BL5/tblSOW4[[#This Row],[Duration]]</f>
        <v>783.25101901388757</v>
      </c>
      <c r="AC5" s="74">
        <f>tblSOW4[[#This Row],[FTE Cost]]*tblSOW4[[#This Row],[% work on project]]*AO5/12+tblSOW4[[#This Row],[Task Cost]]*BA5+tblSOW4[[#This Row],[External Expenses/Revenues USD]]*BM5/tblSOW4[[#This Row],[Duration]]</f>
        <v>783.25101901388757</v>
      </c>
      <c r="AD5" s="74">
        <f>tblSOW4[[#This Row],[FTE Cost]]*tblSOW4[[#This Row],[% work on project]]*AP5/12+tblSOW4[[#This Row],[Task Cost]]*BB5+tblSOW4[[#This Row],[External Expenses/Revenues USD]]*BN5/tblSOW4[[#This Row],[Duration]]</f>
        <v>783.25101901388757</v>
      </c>
      <c r="AE5" s="74">
        <f>tblSOW4[[#This Row],[FTE Cost]]*tblSOW4[[#This Row],[% work on project]]*AQ5/12+tblSOW4[[#This Row],[Task Cost]]*BC5+tblSOW4[[#This Row],[External Expenses/Revenues USD]]*BO5/tblSOW4[[#This Row],[Duration]]</f>
        <v>783.25101901388757</v>
      </c>
      <c r="AF5" s="74">
        <f>tblSOW4[[#This Row],[FTE Cost]]*tblSOW4[[#This Row],[% work on project]]*AR5/12+tblSOW4[[#This Row],[Task Cost]]*BD5+tblSOW4[[#This Row],[External Expenses/Revenues USD]]*BP5/tblSOW4[[#This Row],[Duration]]</f>
        <v>783.25101901388757</v>
      </c>
      <c r="AG5" s="74">
        <f>tblSOW4[[#This Row],[FTE Cost]]*tblSOW4[[#This Row],[% work on project]]*AS5/12+tblSOW4[[#This Row],[Task Cost]]*BE5+tblSOW4[[#This Row],[External Expenses/Revenues USD]]*BQ5/tblSOW4[[#This Row],[Duration]]</f>
        <v>783.25101901388757</v>
      </c>
      <c r="AH5" s="74">
        <f>tblSOW4[[#This Row],[FTE Cost]]*tblSOW4[[#This Row],[% work on project]]*AT5/12+tblSOW4[[#This Row],[Task Cost]]*BF5+tblSOW4[[#This Row],[External Expenses/Revenues USD]]*BR5/tblSOW4[[#This Row],[Duration]]</f>
        <v>783.25101901388757</v>
      </c>
      <c r="AI5" s="74">
        <f>tblSOW4[[#This Row],[FTE Cost]]*tblSOW4[[#This Row],[% work on project]]*AU5/12+tblSOW4[[#This Row],[Task Cost]]*BG5+tblSOW4[[#This Row],[External Expenses/Revenues USD]]*BS5/tblSOW4[[#This Row],[Duration]]</f>
        <v>783.25101901388757</v>
      </c>
      <c r="AJ5" s="74">
        <f>tblSOW4[[#This Row],[FTE Cost]]*tblSOW4[[#This Row],[% work on project]]*AV5/12+tblSOW4[[#This Row],[Task Cost]]*BH5+tblSOW4[[#This Row],[External Expenses/Revenues USD]]*BT5/tblSOW4[[#This Row],[Duration]]</f>
        <v>783.25101901388757</v>
      </c>
      <c r="AK5" s="74">
        <f t="shared" si="1"/>
        <v>1</v>
      </c>
      <c r="AL5" s="74">
        <f t="shared" si="1"/>
        <v>1</v>
      </c>
      <c r="AM5" s="74">
        <f t="shared" si="1"/>
        <v>1</v>
      </c>
      <c r="AN5" s="74">
        <f t="shared" si="1"/>
        <v>1</v>
      </c>
      <c r="AO5" s="74">
        <f t="shared" si="1"/>
        <v>1</v>
      </c>
      <c r="AP5" s="74">
        <f t="shared" si="1"/>
        <v>1</v>
      </c>
      <c r="AQ5" s="74">
        <f t="shared" ref="AQ5:AV5" si="6">$S5/$BU5*BO5</f>
        <v>1</v>
      </c>
      <c r="AR5" s="74">
        <f t="shared" si="6"/>
        <v>1</v>
      </c>
      <c r="AS5" s="74">
        <f t="shared" si="6"/>
        <v>1</v>
      </c>
      <c r="AT5" s="74">
        <f t="shared" si="6"/>
        <v>1</v>
      </c>
      <c r="AU5" s="74">
        <f t="shared" si="6"/>
        <v>1</v>
      </c>
      <c r="AV5" s="74">
        <f t="shared" si="6"/>
        <v>1</v>
      </c>
      <c r="AW5" s="74">
        <f t="shared" si="3"/>
        <v>0.91666666666666663</v>
      </c>
      <c r="AX5" s="74">
        <f t="shared" si="3"/>
        <v>0.91666666666666663</v>
      </c>
      <c r="AY5" s="74">
        <f t="shared" si="3"/>
        <v>0.91666666666666663</v>
      </c>
      <c r="AZ5" s="74">
        <f t="shared" si="3"/>
        <v>0.91666666666666663</v>
      </c>
      <c r="BA5" s="74">
        <f t="shared" si="3"/>
        <v>0.91666666666666663</v>
      </c>
      <c r="BB5" s="74">
        <f t="shared" si="3"/>
        <v>0.91666666666666663</v>
      </c>
      <c r="BC5" s="74">
        <f t="shared" ref="BC5:BH5" si="7">$U5/$BU5*BO5</f>
        <v>0.91666666666666663</v>
      </c>
      <c r="BD5" s="74">
        <f t="shared" si="7"/>
        <v>0.91666666666666663</v>
      </c>
      <c r="BE5" s="74">
        <f t="shared" si="7"/>
        <v>0.91666666666666663</v>
      </c>
      <c r="BF5" s="74">
        <f t="shared" si="7"/>
        <v>0.91666666666666663</v>
      </c>
      <c r="BG5" s="74">
        <f t="shared" si="7"/>
        <v>0.91666666666666663</v>
      </c>
      <c r="BH5" s="74">
        <f t="shared" si="7"/>
        <v>0.91666666666666663</v>
      </c>
      <c r="BI5" s="74">
        <f t="shared" si="5"/>
        <v>1</v>
      </c>
      <c r="BJ5" s="74">
        <f t="shared" si="5"/>
        <v>1</v>
      </c>
      <c r="BK5" s="74">
        <f t="shared" si="5"/>
        <v>1</v>
      </c>
      <c r="BL5" s="74">
        <f t="shared" si="5"/>
        <v>1</v>
      </c>
      <c r="BM5" s="74">
        <f t="shared" si="5"/>
        <v>1</v>
      </c>
      <c r="BN5" s="74">
        <f t="shared" si="5"/>
        <v>1</v>
      </c>
      <c r="BO5" s="74">
        <f t="shared" si="5"/>
        <v>1</v>
      </c>
      <c r="BP5" s="74">
        <f t="shared" si="5"/>
        <v>1</v>
      </c>
      <c r="BQ5" s="74">
        <f t="shared" si="5"/>
        <v>1</v>
      </c>
      <c r="BR5" s="74">
        <f t="shared" si="5"/>
        <v>1</v>
      </c>
      <c r="BS5" s="74">
        <f t="shared" si="5"/>
        <v>1</v>
      </c>
      <c r="BT5" s="74">
        <f t="shared" si="5"/>
        <v>1</v>
      </c>
      <c r="BU5" s="74">
        <f>SUM(tblSOW4[[#This Row],[P1]:[P12]])</f>
        <v>12</v>
      </c>
      <c r="BV5" s="74">
        <f xml:space="preserve"> IF(AND(ISNUMBER(SEARCH("-E000",tblSOW4[[#This Row],[Budget Item]])), ISERROR(VLOOKUP(tblSOW4[[#This Row],[Employee name ]],[21]Parameters!CP:DH,19,0))),VLOOKUP(tblSOW4[[#This Row],[Employee name ]],[21]Parameters!CP:DH,19,0),IFERROR(VLOOKUP(tblSOW4[[#This Row],[Employee name ]],[21]Parameters!CP:DH,19,0),0))</f>
        <v>0</v>
      </c>
      <c r="BW5" s="74">
        <f>IFERROR(VLOOKUP(K5,[21]Parameters!BN:BW,10,0),0)</f>
        <v>854.45565710605922</v>
      </c>
      <c r="BX5" s="67"/>
      <c r="BY5" s="67"/>
      <c r="BZ5" s="67"/>
      <c r="CA5" s="39"/>
      <c r="CB5" s="40"/>
      <c r="CC5" s="39"/>
      <c r="CD5" s="67"/>
      <c r="CE5" s="67"/>
      <c r="CF5" s="68"/>
      <c r="CG5" s="68"/>
      <c r="CH5" s="68"/>
      <c r="CI5" s="68"/>
      <c r="CJ5" s="91"/>
      <c r="CK5" s="67"/>
      <c r="CL5" s="76"/>
      <c r="CM5" s="72"/>
      <c r="CN5" s="72"/>
      <c r="CO5" s="67"/>
      <c r="CP5" s="67"/>
      <c r="CQ5" s="68"/>
      <c r="CR5" s="68"/>
      <c r="CS5" s="68"/>
      <c r="CT5" s="68"/>
      <c r="CU5" s="67"/>
      <c r="EU5" s="67"/>
      <c r="EV5" s="67"/>
      <c r="EW5" s="67"/>
      <c r="EX5" s="39"/>
      <c r="EY5" s="40"/>
      <c r="EZ5" s="39"/>
      <c r="FA5" s="67"/>
      <c r="FB5" s="67"/>
      <c r="FC5" s="68"/>
      <c r="FD5" s="68"/>
      <c r="FE5" s="68"/>
      <c r="FF5" s="68"/>
      <c r="FG5" s="91"/>
      <c r="FH5" s="67"/>
      <c r="FI5" s="76"/>
      <c r="FJ5" s="72"/>
      <c r="FK5" s="72"/>
      <c r="FL5" s="67"/>
      <c r="FM5" s="67"/>
      <c r="FN5" s="68"/>
      <c r="FO5" s="68"/>
      <c r="FP5" s="68"/>
      <c r="FQ5" s="68"/>
      <c r="FR5" s="67"/>
      <c r="HR5" s="67"/>
      <c r="HS5" s="67"/>
      <c r="HT5" s="67"/>
      <c r="HU5" s="39"/>
      <c r="HV5" s="40"/>
      <c r="HW5" s="39"/>
      <c r="HX5" s="67"/>
      <c r="HY5" s="67"/>
      <c r="HZ5" s="68"/>
      <c r="IA5" s="68"/>
      <c r="IB5" s="68"/>
      <c r="IC5" s="68"/>
      <c r="ID5" s="91"/>
      <c r="IE5" s="67"/>
      <c r="IF5" s="76"/>
      <c r="IG5" s="72"/>
      <c r="IH5" s="72"/>
      <c r="II5" s="67"/>
      <c r="IJ5" s="67"/>
      <c r="IK5" s="68"/>
      <c r="IL5" s="68"/>
      <c r="IM5" s="68"/>
      <c r="IN5" s="68"/>
      <c r="IO5" s="67"/>
      <c r="KO5" s="67"/>
      <c r="KP5" s="67"/>
      <c r="KQ5" s="67"/>
      <c r="KR5" s="39"/>
      <c r="KS5" s="40"/>
      <c r="KT5" s="39"/>
      <c r="KU5" s="67"/>
      <c r="KV5" s="67"/>
      <c r="KW5" s="68"/>
      <c r="KX5" s="68"/>
      <c r="KY5" s="68"/>
      <c r="KZ5" s="68"/>
      <c r="LA5" s="91"/>
      <c r="LB5" s="67"/>
      <c r="LC5" s="76"/>
      <c r="LD5" s="72"/>
      <c r="LE5" s="72"/>
      <c r="LF5" s="67"/>
      <c r="LG5" s="67"/>
      <c r="LH5" s="68"/>
      <c r="LI5" s="68"/>
      <c r="LJ5" s="68"/>
      <c r="LK5" s="68"/>
      <c r="LL5" s="67"/>
      <c r="NL5" s="67"/>
      <c r="NM5" s="67"/>
      <c r="NN5" s="67"/>
      <c r="NO5" s="39"/>
      <c r="NP5" s="40"/>
      <c r="NQ5" s="39"/>
      <c r="NR5" s="67"/>
      <c r="NS5" s="67"/>
      <c r="NT5" s="68"/>
      <c r="NU5" s="68"/>
      <c r="NV5" s="68"/>
      <c r="NW5" s="68"/>
      <c r="NX5" s="91"/>
      <c r="NY5" s="67"/>
      <c r="NZ5" s="76"/>
      <c r="OA5" s="72"/>
      <c r="OB5" s="72"/>
      <c r="OC5" s="67"/>
      <c r="OD5" s="67"/>
      <c r="OE5" s="68"/>
      <c r="OF5" s="68"/>
      <c r="OG5" s="68"/>
      <c r="OH5" s="68"/>
      <c r="OI5" s="67"/>
      <c r="QI5" s="67"/>
      <c r="QJ5" s="67"/>
      <c r="QK5" s="67"/>
      <c r="QL5" s="39"/>
      <c r="QM5" s="40"/>
      <c r="QN5" s="39"/>
      <c r="QO5" s="67"/>
      <c r="QP5" s="67"/>
      <c r="QQ5" s="68"/>
      <c r="QR5" s="68"/>
      <c r="QS5" s="68"/>
      <c r="QT5" s="68"/>
      <c r="QU5" s="91"/>
      <c r="QV5" s="67"/>
      <c r="QW5" s="76"/>
      <c r="QX5" s="72"/>
      <c r="QY5" s="72"/>
      <c r="QZ5" s="67"/>
      <c r="RA5" s="67"/>
      <c r="RB5" s="68"/>
      <c r="RC5" s="68"/>
      <c r="RD5" s="68"/>
      <c r="RE5" s="68"/>
      <c r="RF5" s="67"/>
      <c r="TF5" s="67"/>
      <c r="TG5" s="67"/>
      <c r="TH5" s="67"/>
      <c r="TI5" s="39"/>
      <c r="TJ5" s="40"/>
      <c r="TK5" s="39"/>
      <c r="TL5" s="67"/>
      <c r="TM5" s="67"/>
      <c r="TN5" s="68"/>
      <c r="TO5" s="68"/>
      <c r="TP5" s="68"/>
      <c r="TQ5" s="68"/>
      <c r="TR5" s="91"/>
      <c r="TS5" s="67"/>
      <c r="TT5" s="76"/>
      <c r="TU5" s="72"/>
      <c r="TV5" s="72"/>
      <c r="TW5" s="67"/>
      <c r="TX5" s="67"/>
      <c r="TY5" s="68"/>
      <c r="TZ5" s="68"/>
      <c r="UA5" s="68"/>
      <c r="UB5" s="68"/>
      <c r="UC5" s="67"/>
      <c r="WC5" s="67"/>
      <c r="WD5" s="67"/>
      <c r="WE5" s="67"/>
      <c r="WF5" s="39"/>
      <c r="WG5" s="40"/>
      <c r="WH5" s="39"/>
      <c r="WI5" s="67"/>
      <c r="WJ5" s="67"/>
      <c r="WK5" s="68"/>
      <c r="WL5" s="68"/>
      <c r="WM5" s="68"/>
      <c r="WN5" s="68"/>
      <c r="WO5" s="91"/>
      <c r="WP5" s="67"/>
      <c r="WQ5" s="76"/>
      <c r="WR5" s="72"/>
      <c r="WS5" s="72"/>
      <c r="WT5" s="67"/>
      <c r="WU5" s="67"/>
      <c r="WV5" s="68"/>
      <c r="WW5" s="68"/>
      <c r="WX5" s="68"/>
      <c r="WY5" s="68"/>
      <c r="WZ5" s="67"/>
      <c r="YZ5" s="67"/>
      <c r="ZA5" s="67"/>
      <c r="ZB5" s="67"/>
      <c r="ZC5" s="39"/>
      <c r="ZD5" s="40"/>
      <c r="ZE5" s="39"/>
      <c r="ZF5" s="67"/>
      <c r="ZG5" s="67"/>
      <c r="ZH5" s="68"/>
      <c r="ZI5" s="68"/>
      <c r="ZJ5" s="68"/>
      <c r="ZK5" s="68"/>
      <c r="ZL5" s="91"/>
      <c r="ZM5" s="67"/>
      <c r="ZN5" s="76"/>
      <c r="ZO5" s="72"/>
      <c r="ZP5" s="72"/>
      <c r="ZQ5" s="67"/>
      <c r="ZR5" s="67"/>
      <c r="ZS5" s="68"/>
      <c r="ZT5" s="68"/>
      <c r="ZU5" s="68"/>
      <c r="ZV5" s="68"/>
      <c r="ZW5" s="67"/>
      <c r="ABW5" s="67"/>
      <c r="ABX5" s="67"/>
      <c r="ABY5" s="67"/>
      <c r="ABZ5" s="39"/>
      <c r="ACA5" s="40"/>
      <c r="ACB5" s="39"/>
      <c r="ACC5" s="67"/>
      <c r="ACD5" s="67"/>
      <c r="ACE5" s="68"/>
      <c r="ACF5" s="68"/>
      <c r="ACG5" s="68"/>
      <c r="ACH5" s="68"/>
      <c r="ACI5" s="91"/>
      <c r="ACJ5" s="67"/>
      <c r="ACK5" s="76"/>
      <c r="ACL5" s="72"/>
      <c r="ACM5" s="72"/>
      <c r="ACN5" s="67"/>
      <c r="ACO5" s="67"/>
      <c r="ACP5" s="68"/>
      <c r="ACQ5" s="68"/>
      <c r="ACR5" s="68"/>
      <c r="ACS5" s="68"/>
      <c r="ACT5" s="67"/>
      <c r="AET5" s="67"/>
      <c r="AEU5" s="67"/>
      <c r="AEV5" s="67"/>
      <c r="AEW5" s="39"/>
      <c r="AEX5" s="40"/>
      <c r="AEY5" s="39"/>
      <c r="AEZ5" s="67"/>
      <c r="AFA5" s="67"/>
      <c r="AFB5" s="68"/>
      <c r="AFC5" s="68"/>
      <c r="AFD5" s="68"/>
      <c r="AFE5" s="68"/>
      <c r="AFF5" s="91"/>
      <c r="AFG5" s="67"/>
      <c r="AFH5" s="76"/>
      <c r="AFI5" s="72"/>
      <c r="AFJ5" s="72"/>
      <c r="AFK5" s="67"/>
      <c r="AFL5" s="67"/>
      <c r="AFM5" s="68"/>
      <c r="AFN5" s="68"/>
      <c r="AFO5" s="68"/>
      <c r="AFP5" s="68"/>
      <c r="AFQ5" s="67"/>
      <c r="AHQ5" s="67"/>
      <c r="AHR5" s="67"/>
      <c r="AHS5" s="67"/>
      <c r="AHT5" s="39"/>
      <c r="AHU5" s="40"/>
      <c r="AHV5" s="39"/>
      <c r="AHW5" s="67"/>
      <c r="AHX5" s="67"/>
      <c r="AHY5" s="68"/>
      <c r="AHZ5" s="68"/>
      <c r="AIA5" s="68"/>
      <c r="AIB5" s="68"/>
      <c r="AIC5" s="91"/>
      <c r="AID5" s="67"/>
      <c r="AIE5" s="76"/>
      <c r="AIF5" s="72"/>
      <c r="AIG5" s="72"/>
      <c r="AIH5" s="67"/>
      <c r="AII5" s="67"/>
      <c r="AIJ5" s="68"/>
      <c r="AIK5" s="68"/>
      <c r="AIL5" s="68"/>
      <c r="AIM5" s="68"/>
      <c r="AIN5" s="67"/>
      <c r="AKN5" s="67"/>
      <c r="AKO5" s="67"/>
      <c r="AKP5" s="67"/>
      <c r="AKQ5" s="39"/>
      <c r="AKR5" s="40"/>
      <c r="AKS5" s="39"/>
      <c r="AKT5" s="67"/>
      <c r="AKU5" s="67"/>
      <c r="AKV5" s="68"/>
      <c r="AKW5" s="68"/>
      <c r="AKX5" s="68"/>
      <c r="AKY5" s="68"/>
      <c r="AKZ5" s="91"/>
      <c r="ALA5" s="67"/>
      <c r="ALB5" s="76"/>
      <c r="ALC5" s="72"/>
      <c r="ALD5" s="72"/>
      <c r="ALE5" s="67"/>
      <c r="ALF5" s="67"/>
      <c r="ALG5" s="68"/>
      <c r="ALH5" s="68"/>
      <c r="ALI5" s="68"/>
      <c r="ALJ5" s="68"/>
      <c r="ALK5" s="67"/>
      <c r="ANK5" s="67"/>
      <c r="ANL5" s="67"/>
      <c r="ANM5" s="67"/>
      <c r="ANN5" s="39"/>
      <c r="ANO5" s="40"/>
      <c r="ANP5" s="39"/>
      <c r="ANQ5" s="67"/>
      <c r="ANR5" s="67"/>
      <c r="ANS5" s="68"/>
      <c r="ANT5" s="68"/>
      <c r="ANU5" s="68"/>
      <c r="ANV5" s="68"/>
      <c r="ANW5" s="91"/>
      <c r="ANX5" s="67"/>
      <c r="ANY5" s="76"/>
      <c r="ANZ5" s="72"/>
      <c r="AOA5" s="72"/>
      <c r="AOB5" s="67"/>
      <c r="AOC5" s="67"/>
      <c r="AOD5" s="68"/>
      <c r="AOE5" s="68"/>
      <c r="AOF5" s="68"/>
      <c r="AOG5" s="68"/>
      <c r="AOH5" s="67"/>
      <c r="AQH5" s="67"/>
      <c r="AQI5" s="67"/>
      <c r="AQJ5" s="67"/>
      <c r="AQK5" s="39"/>
      <c r="AQL5" s="40"/>
      <c r="AQM5" s="39"/>
      <c r="AQN5" s="67"/>
      <c r="AQO5" s="67"/>
      <c r="AQP5" s="68"/>
      <c r="AQQ5" s="68"/>
      <c r="AQR5" s="68"/>
      <c r="AQS5" s="68"/>
      <c r="AQT5" s="91"/>
      <c r="AQU5" s="67"/>
      <c r="AQV5" s="76"/>
      <c r="AQW5" s="72"/>
      <c r="AQX5" s="72"/>
      <c r="AQY5" s="67"/>
      <c r="AQZ5" s="67"/>
      <c r="ARA5" s="68"/>
      <c r="ARB5" s="68"/>
      <c r="ARC5" s="68"/>
      <c r="ARD5" s="68"/>
      <c r="ARE5" s="67"/>
      <c r="ATE5" s="67"/>
      <c r="ATF5" s="67"/>
      <c r="ATG5" s="67"/>
      <c r="ATH5" s="39"/>
      <c r="ATI5" s="40"/>
      <c r="ATJ5" s="39"/>
      <c r="ATK5" s="67"/>
      <c r="ATL5" s="67"/>
      <c r="ATM5" s="68"/>
      <c r="ATN5" s="68"/>
      <c r="ATO5" s="68"/>
      <c r="ATP5" s="68"/>
      <c r="ATQ5" s="91"/>
      <c r="ATR5" s="67"/>
      <c r="ATS5" s="76"/>
      <c r="ATT5" s="72"/>
      <c r="ATU5" s="72"/>
      <c r="ATV5" s="67"/>
      <c r="ATW5" s="67"/>
      <c r="ATX5" s="68"/>
      <c r="ATY5" s="68"/>
      <c r="ATZ5" s="68"/>
      <c r="AUA5" s="68"/>
      <c r="AUB5" s="67"/>
      <c r="AWB5" s="67"/>
      <c r="AWC5" s="67"/>
      <c r="AWD5" s="67"/>
      <c r="AWE5" s="39"/>
      <c r="AWF5" s="40"/>
      <c r="AWG5" s="39"/>
      <c r="AWH5" s="67"/>
      <c r="AWI5" s="67"/>
      <c r="AWJ5" s="68"/>
      <c r="AWK5" s="68"/>
      <c r="AWL5" s="68"/>
      <c r="AWM5" s="68"/>
      <c r="AWN5" s="91"/>
      <c r="AWO5" s="67"/>
      <c r="AWP5" s="76"/>
      <c r="AWQ5" s="72"/>
      <c r="AWR5" s="72"/>
      <c r="AWS5" s="67"/>
      <c r="AWT5" s="67"/>
      <c r="AWU5" s="68"/>
      <c r="AWV5" s="68"/>
      <c r="AWW5" s="68"/>
      <c r="AWX5" s="68"/>
      <c r="AWY5" s="67"/>
      <c r="AYY5" s="67"/>
      <c r="AYZ5" s="67"/>
      <c r="AZA5" s="67"/>
      <c r="AZB5" s="39"/>
      <c r="AZC5" s="40"/>
      <c r="AZD5" s="39"/>
      <c r="AZE5" s="67"/>
      <c r="AZF5" s="67"/>
      <c r="AZG5" s="68"/>
      <c r="AZH5" s="68"/>
      <c r="AZI5" s="68"/>
      <c r="AZJ5" s="68"/>
      <c r="AZK5" s="91"/>
      <c r="AZL5" s="67"/>
      <c r="AZM5" s="76"/>
      <c r="AZN5" s="72"/>
      <c r="AZO5" s="72"/>
      <c r="AZP5" s="67"/>
      <c r="AZQ5" s="67"/>
      <c r="AZR5" s="68"/>
      <c r="AZS5" s="68"/>
      <c r="AZT5" s="68"/>
      <c r="AZU5" s="68"/>
      <c r="AZV5" s="67"/>
      <c r="BBV5" s="67"/>
      <c r="BBW5" s="67"/>
      <c r="BBX5" s="67"/>
      <c r="BBY5" s="39"/>
      <c r="BBZ5" s="40"/>
      <c r="BCA5" s="39"/>
      <c r="BCB5" s="67"/>
      <c r="BCC5" s="67"/>
      <c r="BCD5" s="68"/>
      <c r="BCE5" s="68"/>
      <c r="BCF5" s="68"/>
      <c r="BCG5" s="68"/>
      <c r="BCH5" s="91"/>
      <c r="BCI5" s="67"/>
      <c r="BCJ5" s="76"/>
      <c r="BCK5" s="72"/>
      <c r="BCL5" s="72"/>
      <c r="BCM5" s="67"/>
      <c r="BCN5" s="67"/>
      <c r="BCO5" s="68"/>
      <c r="BCP5" s="68"/>
      <c r="BCQ5" s="68"/>
      <c r="BCR5" s="68"/>
      <c r="BCS5" s="67"/>
      <c r="BES5" s="67"/>
      <c r="BET5" s="67"/>
      <c r="BEU5" s="67"/>
      <c r="BEV5" s="39"/>
      <c r="BEW5" s="40"/>
      <c r="BEX5" s="39"/>
      <c r="BEY5" s="67"/>
      <c r="BEZ5" s="67"/>
      <c r="BFA5" s="68"/>
      <c r="BFB5" s="68"/>
      <c r="BFC5" s="68"/>
      <c r="BFD5" s="68"/>
      <c r="BFE5" s="91"/>
      <c r="BFF5" s="67"/>
      <c r="BFG5" s="76"/>
      <c r="BFH5" s="72"/>
      <c r="BFI5" s="72"/>
      <c r="BFJ5" s="67"/>
      <c r="BFK5" s="67"/>
      <c r="BFL5" s="68"/>
      <c r="BFM5" s="68"/>
      <c r="BFN5" s="68"/>
      <c r="BFO5" s="68"/>
      <c r="BFP5" s="67"/>
      <c r="BHP5" s="67"/>
      <c r="BHQ5" s="67"/>
      <c r="BHR5" s="67"/>
      <c r="BHS5" s="39"/>
      <c r="BHT5" s="40"/>
      <c r="BHU5" s="39"/>
      <c r="BHV5" s="67"/>
      <c r="BHW5" s="67"/>
      <c r="BHX5" s="68"/>
      <c r="BHY5" s="68"/>
      <c r="BHZ5" s="68"/>
      <c r="BIA5" s="68"/>
      <c r="BIB5" s="91"/>
      <c r="BIC5" s="67"/>
      <c r="BID5" s="76"/>
      <c r="BIE5" s="72"/>
      <c r="BIF5" s="72"/>
      <c r="BIG5" s="67"/>
      <c r="BIH5" s="67"/>
      <c r="BII5" s="68"/>
      <c r="BIJ5" s="68"/>
      <c r="BIK5" s="68"/>
      <c r="BIL5" s="68"/>
      <c r="BIM5" s="67"/>
      <c r="BKM5" s="67"/>
      <c r="BKN5" s="67"/>
      <c r="BKO5" s="67"/>
      <c r="BKP5" s="39"/>
      <c r="BKQ5" s="40"/>
      <c r="BKR5" s="39"/>
      <c r="BKS5" s="67"/>
      <c r="BKT5" s="67"/>
      <c r="BKU5" s="68"/>
      <c r="BKV5" s="68"/>
      <c r="BKW5" s="68"/>
      <c r="BKX5" s="68"/>
      <c r="BKY5" s="91"/>
      <c r="BKZ5" s="67"/>
      <c r="BLA5" s="76"/>
      <c r="BLB5" s="72"/>
      <c r="BLC5" s="72"/>
      <c r="BLD5" s="67"/>
      <c r="BLE5" s="67"/>
      <c r="BLF5" s="68"/>
      <c r="BLG5" s="68"/>
      <c r="BLH5" s="68"/>
      <c r="BLI5" s="68"/>
      <c r="BLJ5" s="67"/>
      <c r="BNJ5" s="67"/>
      <c r="BNK5" s="67"/>
      <c r="BNL5" s="67"/>
      <c r="BNM5" s="39"/>
      <c r="BNN5" s="40"/>
      <c r="BNO5" s="39"/>
      <c r="BNP5" s="67"/>
      <c r="BNQ5" s="67"/>
      <c r="BNR5" s="68"/>
      <c r="BNS5" s="68"/>
      <c r="BNT5" s="68"/>
      <c r="BNU5" s="68"/>
      <c r="BNV5" s="91"/>
      <c r="BNW5" s="67"/>
      <c r="BNX5" s="76"/>
      <c r="BNY5" s="72"/>
      <c r="BNZ5" s="72"/>
      <c r="BOA5" s="67"/>
      <c r="BOB5" s="67"/>
      <c r="BOC5" s="68"/>
      <c r="BOD5" s="68"/>
      <c r="BOE5" s="68"/>
      <c r="BOF5" s="68"/>
      <c r="BOG5" s="67"/>
      <c r="BQG5" s="67"/>
      <c r="BQH5" s="67"/>
      <c r="BQI5" s="67"/>
      <c r="BQJ5" s="39"/>
      <c r="BQK5" s="40"/>
      <c r="BQL5" s="39"/>
      <c r="BQM5" s="67"/>
      <c r="BQN5" s="67"/>
      <c r="BQO5" s="68"/>
      <c r="BQP5" s="68"/>
      <c r="BQQ5" s="68"/>
      <c r="BQR5" s="68"/>
      <c r="BQS5" s="91"/>
      <c r="BQT5" s="67"/>
      <c r="BQU5" s="76"/>
      <c r="BQV5" s="72"/>
      <c r="BQW5" s="72"/>
      <c r="BQX5" s="67"/>
      <c r="BQY5" s="67"/>
      <c r="BQZ5" s="68"/>
      <c r="BRA5" s="68"/>
      <c r="BRB5" s="68"/>
      <c r="BRC5" s="68"/>
      <c r="BRD5" s="67"/>
      <c r="BTD5" s="67"/>
      <c r="BTE5" s="67"/>
      <c r="BTF5" s="67"/>
      <c r="BTG5" s="39"/>
      <c r="BTH5" s="40"/>
      <c r="BTI5" s="39"/>
      <c r="BTJ5" s="67"/>
      <c r="BTK5" s="67"/>
      <c r="BTL5" s="68"/>
      <c r="BTM5" s="68"/>
      <c r="BTN5" s="68"/>
      <c r="BTO5" s="68"/>
      <c r="BTP5" s="91"/>
      <c r="BTQ5" s="67"/>
      <c r="BTR5" s="76"/>
      <c r="BTS5" s="72"/>
      <c r="BTT5" s="72"/>
      <c r="BTU5" s="67"/>
      <c r="BTV5" s="67"/>
      <c r="BTW5" s="68"/>
      <c r="BTX5" s="68"/>
      <c r="BTY5" s="68"/>
      <c r="BTZ5" s="68"/>
      <c r="BUA5" s="67"/>
      <c r="BWA5" s="67"/>
      <c r="BWB5" s="67"/>
      <c r="BWC5" s="67"/>
      <c r="BWD5" s="39"/>
      <c r="BWE5" s="40"/>
      <c r="BWF5" s="39"/>
      <c r="BWG5" s="67"/>
      <c r="BWH5" s="67"/>
      <c r="BWI5" s="68"/>
      <c r="BWJ5" s="68"/>
      <c r="BWK5" s="68"/>
      <c r="BWL5" s="68"/>
      <c r="BWM5" s="91"/>
      <c r="BWN5" s="67"/>
      <c r="BWO5" s="76"/>
      <c r="BWP5" s="72"/>
      <c r="BWQ5" s="72"/>
      <c r="BWR5" s="67"/>
      <c r="BWS5" s="67"/>
      <c r="BWT5" s="68"/>
      <c r="BWU5" s="68"/>
      <c r="BWV5" s="68"/>
      <c r="BWW5" s="68"/>
      <c r="BWX5" s="67"/>
      <c r="BYX5" s="67"/>
      <c r="BYY5" s="67"/>
      <c r="BYZ5" s="67"/>
      <c r="BZA5" s="39"/>
      <c r="BZB5" s="40"/>
      <c r="BZC5" s="39"/>
      <c r="BZD5" s="67"/>
      <c r="BZE5" s="67"/>
      <c r="BZF5" s="68"/>
      <c r="BZG5" s="68"/>
      <c r="BZH5" s="68"/>
      <c r="BZI5" s="68"/>
      <c r="BZJ5" s="91"/>
      <c r="BZK5" s="67"/>
      <c r="BZL5" s="76"/>
      <c r="BZM5" s="72"/>
      <c r="BZN5" s="72"/>
      <c r="BZO5" s="67"/>
      <c r="BZP5" s="67"/>
      <c r="BZQ5" s="68"/>
      <c r="BZR5" s="68"/>
      <c r="BZS5" s="68"/>
      <c r="BZT5" s="68"/>
      <c r="BZU5" s="67"/>
      <c r="CBU5" s="67"/>
      <c r="CBV5" s="67"/>
      <c r="CBW5" s="67"/>
      <c r="CBX5" s="39"/>
      <c r="CBY5" s="40"/>
      <c r="CBZ5" s="39"/>
      <c r="CCA5" s="67"/>
      <c r="CCB5" s="67"/>
      <c r="CCC5" s="68"/>
      <c r="CCD5" s="68"/>
      <c r="CCE5" s="68"/>
      <c r="CCF5" s="68"/>
      <c r="CCG5" s="91"/>
      <c r="CCH5" s="67"/>
      <c r="CCI5" s="76"/>
      <c r="CCJ5" s="72"/>
      <c r="CCK5" s="72"/>
      <c r="CCL5" s="67"/>
      <c r="CCM5" s="67"/>
      <c r="CCN5" s="68"/>
      <c r="CCO5" s="68"/>
      <c r="CCP5" s="68"/>
      <c r="CCQ5" s="68"/>
      <c r="CCR5" s="67"/>
      <c r="CER5" s="67"/>
      <c r="CES5" s="67"/>
      <c r="CET5" s="67"/>
      <c r="CEU5" s="39"/>
      <c r="CEV5" s="40"/>
      <c r="CEW5" s="39"/>
      <c r="CEX5" s="67"/>
      <c r="CEY5" s="67"/>
      <c r="CEZ5" s="68"/>
      <c r="CFA5" s="68"/>
      <c r="CFB5" s="68"/>
      <c r="CFC5" s="68"/>
      <c r="CFD5" s="91"/>
      <c r="CFE5" s="67"/>
      <c r="CFF5" s="76"/>
      <c r="CFG5" s="72"/>
      <c r="CFH5" s="72"/>
      <c r="CFI5" s="67"/>
      <c r="CFJ5" s="67"/>
      <c r="CFK5" s="68"/>
      <c r="CFL5" s="68"/>
      <c r="CFM5" s="68"/>
      <c r="CFN5" s="68"/>
      <c r="CFO5" s="67"/>
      <c r="CHO5" s="67"/>
      <c r="CHP5" s="67"/>
      <c r="CHQ5" s="67"/>
      <c r="CHR5" s="39"/>
      <c r="CHS5" s="40"/>
      <c r="CHT5" s="39"/>
      <c r="CHU5" s="67"/>
      <c r="CHV5" s="67"/>
      <c r="CHW5" s="68"/>
      <c r="CHX5" s="68"/>
      <c r="CHY5" s="68"/>
      <c r="CHZ5" s="68"/>
      <c r="CIA5" s="91"/>
      <c r="CIB5" s="67"/>
      <c r="CIC5" s="76"/>
      <c r="CID5" s="72"/>
      <c r="CIE5" s="72"/>
      <c r="CIF5" s="67"/>
      <c r="CIG5" s="67"/>
      <c r="CIH5" s="68"/>
      <c r="CII5" s="68"/>
      <c r="CIJ5" s="68"/>
      <c r="CIK5" s="68"/>
      <c r="CIL5" s="67"/>
      <c r="CKL5" s="67"/>
      <c r="CKM5" s="67"/>
      <c r="CKN5" s="67"/>
      <c r="CKO5" s="39"/>
      <c r="CKP5" s="40"/>
      <c r="CKQ5" s="39"/>
      <c r="CKR5" s="67"/>
      <c r="CKS5" s="67"/>
      <c r="CKT5" s="68"/>
      <c r="CKU5" s="68"/>
      <c r="CKV5" s="68"/>
      <c r="CKW5" s="68"/>
      <c r="CKX5" s="91"/>
      <c r="CKY5" s="67"/>
      <c r="CKZ5" s="76"/>
      <c r="CLA5" s="72"/>
      <c r="CLB5" s="72"/>
      <c r="CLC5" s="67"/>
      <c r="CLD5" s="67"/>
      <c r="CLE5" s="68"/>
      <c r="CLF5" s="68"/>
      <c r="CLG5" s="68"/>
      <c r="CLH5" s="68"/>
      <c r="CLI5" s="67"/>
      <c r="CNI5" s="67"/>
      <c r="CNJ5" s="67"/>
      <c r="CNK5" s="67"/>
      <c r="CNL5" s="39"/>
      <c r="CNM5" s="40"/>
      <c r="CNN5" s="39"/>
      <c r="CNO5" s="67"/>
      <c r="CNP5" s="67"/>
      <c r="CNQ5" s="68"/>
      <c r="CNR5" s="68"/>
      <c r="CNS5" s="68"/>
      <c r="CNT5" s="68"/>
      <c r="CNU5" s="91"/>
      <c r="CNV5" s="67"/>
      <c r="CNW5" s="76"/>
      <c r="CNX5" s="72"/>
      <c r="CNY5" s="72"/>
      <c r="CNZ5" s="67"/>
      <c r="COA5" s="67"/>
      <c r="COB5" s="68"/>
      <c r="COC5" s="68"/>
      <c r="COD5" s="68"/>
      <c r="COE5" s="68"/>
      <c r="COF5" s="67"/>
      <c r="CQF5" s="67"/>
      <c r="CQG5" s="67"/>
      <c r="CQH5" s="67"/>
      <c r="CQI5" s="39"/>
      <c r="CQJ5" s="40"/>
      <c r="CQK5" s="39"/>
      <c r="CQL5" s="67"/>
      <c r="CQM5" s="67"/>
      <c r="CQN5" s="68"/>
      <c r="CQO5" s="68"/>
      <c r="CQP5" s="68"/>
      <c r="CQQ5" s="68"/>
      <c r="CQR5" s="91"/>
      <c r="CQS5" s="67"/>
      <c r="CQT5" s="76"/>
      <c r="CQU5" s="72"/>
      <c r="CQV5" s="72"/>
      <c r="CQW5" s="67"/>
      <c r="CQX5" s="67"/>
      <c r="CQY5" s="68"/>
      <c r="CQZ5" s="68"/>
      <c r="CRA5" s="68"/>
      <c r="CRB5" s="68"/>
      <c r="CRC5" s="67"/>
      <c r="CTC5" s="67"/>
      <c r="CTD5" s="67"/>
      <c r="CTE5" s="67"/>
      <c r="CTF5" s="39"/>
      <c r="CTG5" s="40"/>
      <c r="CTH5" s="39"/>
      <c r="CTI5" s="67"/>
      <c r="CTJ5" s="67"/>
      <c r="CTK5" s="68"/>
      <c r="CTL5" s="68"/>
      <c r="CTM5" s="68"/>
      <c r="CTN5" s="68"/>
      <c r="CTO5" s="91"/>
      <c r="CTP5" s="67"/>
      <c r="CTQ5" s="76"/>
      <c r="CTR5" s="72"/>
      <c r="CTS5" s="72"/>
      <c r="CTT5" s="67"/>
      <c r="CTU5" s="67"/>
      <c r="CTV5" s="68"/>
      <c r="CTW5" s="68"/>
      <c r="CTX5" s="68"/>
      <c r="CTY5" s="68"/>
      <c r="CTZ5" s="67"/>
      <c r="CVZ5" s="67"/>
      <c r="CWA5" s="67"/>
      <c r="CWB5" s="67"/>
      <c r="CWC5" s="39"/>
      <c r="CWD5" s="40"/>
      <c r="CWE5" s="39"/>
      <c r="CWF5" s="67"/>
      <c r="CWG5" s="67"/>
      <c r="CWH5" s="68"/>
      <c r="CWI5" s="68"/>
      <c r="CWJ5" s="68"/>
      <c r="CWK5" s="68"/>
      <c r="CWL5" s="91"/>
      <c r="CWM5" s="67"/>
      <c r="CWN5" s="76"/>
      <c r="CWO5" s="72"/>
      <c r="CWP5" s="72"/>
      <c r="CWQ5" s="67"/>
      <c r="CWR5" s="67"/>
      <c r="CWS5" s="68"/>
      <c r="CWT5" s="68"/>
      <c r="CWU5" s="68"/>
      <c r="CWV5" s="68"/>
      <c r="CWW5" s="67"/>
      <c r="CYW5" s="67"/>
      <c r="CYX5" s="67"/>
      <c r="CYY5" s="67"/>
      <c r="CYZ5" s="39"/>
      <c r="CZA5" s="40"/>
      <c r="CZB5" s="39"/>
      <c r="CZC5" s="67"/>
      <c r="CZD5" s="67"/>
      <c r="CZE5" s="68"/>
      <c r="CZF5" s="68"/>
      <c r="CZG5" s="68"/>
      <c r="CZH5" s="68"/>
      <c r="CZI5" s="91"/>
      <c r="CZJ5" s="67"/>
      <c r="CZK5" s="76"/>
      <c r="CZL5" s="72"/>
      <c r="CZM5" s="72"/>
      <c r="CZN5" s="67"/>
      <c r="CZO5" s="67"/>
      <c r="CZP5" s="68"/>
      <c r="CZQ5" s="68"/>
      <c r="CZR5" s="68"/>
      <c r="CZS5" s="68"/>
      <c r="CZT5" s="67"/>
      <c r="DBT5" s="67"/>
      <c r="DBU5" s="67"/>
      <c r="DBV5" s="67"/>
      <c r="DBW5" s="39"/>
      <c r="DBX5" s="40"/>
      <c r="DBY5" s="39"/>
      <c r="DBZ5" s="67"/>
      <c r="DCA5" s="67"/>
      <c r="DCB5" s="68"/>
      <c r="DCC5" s="68"/>
      <c r="DCD5" s="68"/>
      <c r="DCE5" s="68"/>
      <c r="DCF5" s="91"/>
      <c r="DCG5" s="67"/>
      <c r="DCH5" s="76"/>
      <c r="DCI5" s="72"/>
      <c r="DCJ5" s="72"/>
      <c r="DCK5" s="67"/>
      <c r="DCL5" s="67"/>
      <c r="DCM5" s="68"/>
      <c r="DCN5" s="68"/>
      <c r="DCO5" s="68"/>
      <c r="DCP5" s="68"/>
      <c r="DCQ5" s="67"/>
      <c r="DEQ5" s="67"/>
      <c r="DER5" s="67"/>
      <c r="DES5" s="67"/>
      <c r="DET5" s="39"/>
      <c r="DEU5" s="40"/>
      <c r="DEV5" s="39"/>
      <c r="DEW5" s="67"/>
      <c r="DEX5" s="67"/>
      <c r="DEY5" s="68"/>
      <c r="DEZ5" s="68"/>
      <c r="DFA5" s="68"/>
      <c r="DFB5" s="68"/>
      <c r="DFC5" s="91"/>
      <c r="DFD5" s="67"/>
      <c r="DFE5" s="76"/>
      <c r="DFF5" s="72"/>
      <c r="DFG5" s="72"/>
      <c r="DFH5" s="67"/>
      <c r="DFI5" s="67"/>
      <c r="DFJ5" s="68"/>
      <c r="DFK5" s="68"/>
      <c r="DFL5" s="68"/>
      <c r="DFM5" s="68"/>
      <c r="DFN5" s="67"/>
      <c r="DHN5" s="67"/>
      <c r="DHO5" s="67"/>
      <c r="DHP5" s="67"/>
      <c r="DHQ5" s="39"/>
      <c r="DHR5" s="40"/>
      <c r="DHS5" s="39"/>
      <c r="DHT5" s="67"/>
      <c r="DHU5" s="67"/>
      <c r="DHV5" s="68"/>
      <c r="DHW5" s="68"/>
      <c r="DHX5" s="68"/>
      <c r="DHY5" s="68"/>
      <c r="DHZ5" s="91"/>
      <c r="DIA5" s="67"/>
      <c r="DIB5" s="76"/>
      <c r="DIC5" s="72"/>
      <c r="DID5" s="72"/>
      <c r="DIE5" s="67"/>
      <c r="DIF5" s="67"/>
      <c r="DIG5" s="68"/>
      <c r="DIH5" s="68"/>
      <c r="DII5" s="68"/>
      <c r="DIJ5" s="68"/>
      <c r="DIK5" s="67"/>
      <c r="DKK5" s="67"/>
      <c r="DKL5" s="67"/>
      <c r="DKM5" s="67"/>
      <c r="DKN5" s="39"/>
      <c r="DKO5" s="40"/>
      <c r="DKP5" s="39"/>
      <c r="DKQ5" s="67"/>
      <c r="DKR5" s="67"/>
      <c r="DKS5" s="68"/>
      <c r="DKT5" s="68"/>
      <c r="DKU5" s="68"/>
      <c r="DKV5" s="68"/>
      <c r="DKW5" s="91"/>
      <c r="DKX5" s="67"/>
      <c r="DKY5" s="76"/>
      <c r="DKZ5" s="72"/>
      <c r="DLA5" s="72"/>
      <c r="DLB5" s="67"/>
      <c r="DLC5" s="67"/>
      <c r="DLD5" s="68"/>
      <c r="DLE5" s="68"/>
      <c r="DLF5" s="68"/>
      <c r="DLG5" s="68"/>
      <c r="DLH5" s="67"/>
      <c r="DNH5" s="67"/>
      <c r="DNI5" s="67"/>
      <c r="DNJ5" s="67"/>
      <c r="DNK5" s="39"/>
      <c r="DNL5" s="40"/>
      <c r="DNM5" s="39"/>
      <c r="DNN5" s="67"/>
      <c r="DNO5" s="67"/>
      <c r="DNP5" s="68"/>
      <c r="DNQ5" s="68"/>
      <c r="DNR5" s="68"/>
      <c r="DNS5" s="68"/>
      <c r="DNT5" s="91"/>
      <c r="DNU5" s="67"/>
      <c r="DNV5" s="76"/>
      <c r="DNW5" s="72"/>
      <c r="DNX5" s="72"/>
      <c r="DNY5" s="67"/>
      <c r="DNZ5" s="67"/>
      <c r="DOA5" s="68"/>
      <c r="DOB5" s="68"/>
      <c r="DOC5" s="68"/>
      <c r="DOD5" s="68"/>
      <c r="DOE5" s="67"/>
      <c r="DQE5" s="67"/>
      <c r="DQF5" s="67"/>
      <c r="DQG5" s="67"/>
      <c r="DQH5" s="39"/>
      <c r="DQI5" s="40"/>
      <c r="DQJ5" s="39"/>
      <c r="DQK5" s="67"/>
      <c r="DQL5" s="67"/>
      <c r="DQM5" s="68"/>
      <c r="DQN5" s="68"/>
      <c r="DQO5" s="68"/>
      <c r="DQP5" s="68"/>
      <c r="DQQ5" s="91"/>
      <c r="DQR5" s="67"/>
      <c r="DQS5" s="76"/>
      <c r="DQT5" s="72"/>
      <c r="DQU5" s="72"/>
      <c r="DQV5" s="67"/>
      <c r="DQW5" s="67"/>
      <c r="DQX5" s="68"/>
      <c r="DQY5" s="68"/>
      <c r="DQZ5" s="68"/>
      <c r="DRA5" s="68"/>
      <c r="DRB5" s="67"/>
      <c r="DTB5" s="67"/>
      <c r="DTC5" s="67"/>
      <c r="DTD5" s="67"/>
      <c r="DTE5" s="39"/>
      <c r="DTF5" s="40"/>
      <c r="DTG5" s="39"/>
      <c r="DTH5" s="67"/>
      <c r="DTI5" s="67"/>
      <c r="DTJ5" s="68"/>
      <c r="DTK5" s="68"/>
      <c r="DTL5" s="68"/>
      <c r="DTM5" s="68"/>
      <c r="DTN5" s="91"/>
      <c r="DTO5" s="67"/>
      <c r="DTP5" s="76"/>
      <c r="DTQ5" s="72"/>
      <c r="DTR5" s="72"/>
      <c r="DTS5" s="67"/>
      <c r="DTT5" s="67"/>
      <c r="DTU5" s="68"/>
      <c r="DTV5" s="68"/>
      <c r="DTW5" s="68"/>
      <c r="DTX5" s="68"/>
      <c r="DTY5" s="67"/>
      <c r="DVY5" s="67"/>
      <c r="DVZ5" s="67"/>
      <c r="DWA5" s="67"/>
      <c r="DWB5" s="39"/>
      <c r="DWC5" s="40"/>
      <c r="DWD5" s="39"/>
      <c r="DWE5" s="67"/>
      <c r="DWF5" s="67"/>
      <c r="DWG5" s="68"/>
      <c r="DWH5" s="68"/>
      <c r="DWI5" s="68"/>
      <c r="DWJ5" s="68"/>
      <c r="DWK5" s="91"/>
      <c r="DWL5" s="67"/>
      <c r="DWM5" s="76"/>
      <c r="DWN5" s="72"/>
      <c r="DWO5" s="72"/>
      <c r="DWP5" s="67"/>
      <c r="DWQ5" s="67"/>
      <c r="DWR5" s="68"/>
      <c r="DWS5" s="68"/>
      <c r="DWT5" s="68"/>
      <c r="DWU5" s="68"/>
      <c r="DWV5" s="67"/>
      <c r="DYV5" s="67"/>
      <c r="DYW5" s="67"/>
      <c r="DYX5" s="67"/>
      <c r="DYY5" s="39"/>
      <c r="DYZ5" s="40"/>
      <c r="DZA5" s="39"/>
      <c r="DZB5" s="67"/>
      <c r="DZC5" s="67"/>
      <c r="DZD5" s="68"/>
      <c r="DZE5" s="68"/>
      <c r="DZF5" s="68"/>
      <c r="DZG5" s="68"/>
      <c r="DZH5" s="91"/>
      <c r="DZI5" s="67"/>
      <c r="DZJ5" s="76"/>
      <c r="DZK5" s="72"/>
      <c r="DZL5" s="72"/>
      <c r="DZM5" s="67"/>
      <c r="DZN5" s="67"/>
      <c r="DZO5" s="68"/>
      <c r="DZP5" s="68"/>
      <c r="DZQ5" s="68"/>
      <c r="DZR5" s="68"/>
      <c r="DZS5" s="67"/>
      <c r="EBS5" s="67"/>
      <c r="EBT5" s="67"/>
      <c r="EBU5" s="67"/>
      <c r="EBV5" s="39"/>
      <c r="EBW5" s="40"/>
      <c r="EBX5" s="39"/>
      <c r="EBY5" s="67"/>
      <c r="EBZ5" s="67"/>
      <c r="ECA5" s="68"/>
      <c r="ECB5" s="68"/>
      <c r="ECC5" s="68"/>
      <c r="ECD5" s="68"/>
      <c r="ECE5" s="91"/>
      <c r="ECF5" s="67"/>
      <c r="ECG5" s="76"/>
      <c r="ECH5" s="72"/>
      <c r="ECI5" s="72"/>
      <c r="ECJ5" s="67"/>
      <c r="ECK5" s="67"/>
      <c r="ECL5" s="68"/>
      <c r="ECM5" s="68"/>
      <c r="ECN5" s="68"/>
      <c r="ECO5" s="68"/>
      <c r="ECP5" s="67"/>
      <c r="EEP5" s="67"/>
      <c r="EEQ5" s="67"/>
      <c r="EER5" s="67"/>
      <c r="EES5" s="39"/>
      <c r="EET5" s="40"/>
      <c r="EEU5" s="39"/>
      <c r="EEV5" s="67"/>
      <c r="EEW5" s="67"/>
      <c r="EEX5" s="68"/>
      <c r="EEY5" s="68"/>
      <c r="EEZ5" s="68"/>
      <c r="EFA5" s="68"/>
      <c r="EFB5" s="91"/>
      <c r="EFC5" s="67"/>
      <c r="EFD5" s="76"/>
      <c r="EFE5" s="72"/>
      <c r="EFF5" s="72"/>
      <c r="EFG5" s="67"/>
      <c r="EFH5" s="67"/>
      <c r="EFI5" s="68"/>
      <c r="EFJ5" s="68"/>
      <c r="EFK5" s="68"/>
      <c r="EFL5" s="68"/>
      <c r="EFM5" s="67"/>
      <c r="EHM5" s="67"/>
      <c r="EHN5" s="67"/>
      <c r="EHO5" s="67"/>
      <c r="EHP5" s="39"/>
      <c r="EHQ5" s="40"/>
      <c r="EHR5" s="39"/>
      <c r="EHS5" s="67"/>
      <c r="EHT5" s="67"/>
      <c r="EHU5" s="68"/>
      <c r="EHV5" s="68"/>
      <c r="EHW5" s="68"/>
      <c r="EHX5" s="68"/>
      <c r="EHY5" s="91"/>
      <c r="EHZ5" s="67"/>
      <c r="EIA5" s="76"/>
      <c r="EIB5" s="72"/>
      <c r="EIC5" s="72"/>
      <c r="EID5" s="67"/>
      <c r="EIE5" s="67"/>
      <c r="EIF5" s="68"/>
      <c r="EIG5" s="68"/>
      <c r="EIH5" s="68"/>
      <c r="EII5" s="68"/>
      <c r="EIJ5" s="67"/>
      <c r="EKJ5" s="67"/>
      <c r="EKK5" s="67"/>
      <c r="EKL5" s="67"/>
      <c r="EKM5" s="39"/>
      <c r="EKN5" s="40"/>
      <c r="EKO5" s="39"/>
      <c r="EKP5" s="67"/>
      <c r="EKQ5" s="67"/>
      <c r="EKR5" s="68"/>
      <c r="EKS5" s="68"/>
      <c r="EKT5" s="68"/>
      <c r="EKU5" s="68"/>
      <c r="EKV5" s="91"/>
      <c r="EKW5" s="67"/>
      <c r="EKX5" s="76"/>
      <c r="EKY5" s="72"/>
      <c r="EKZ5" s="72"/>
      <c r="ELA5" s="67"/>
      <c r="ELB5" s="67"/>
      <c r="ELC5" s="68"/>
      <c r="ELD5" s="68"/>
      <c r="ELE5" s="68"/>
      <c r="ELF5" s="68"/>
      <c r="ELG5" s="67"/>
      <c r="ENG5" s="67"/>
      <c r="ENH5" s="67"/>
      <c r="ENI5" s="67"/>
      <c r="ENJ5" s="39"/>
      <c r="ENK5" s="40"/>
      <c r="ENL5" s="39"/>
      <c r="ENM5" s="67"/>
      <c r="ENN5" s="67"/>
      <c r="ENO5" s="68"/>
      <c r="ENP5" s="68"/>
      <c r="ENQ5" s="68"/>
      <c r="ENR5" s="68"/>
      <c r="ENS5" s="91"/>
      <c r="ENT5" s="67"/>
      <c r="ENU5" s="76"/>
      <c r="ENV5" s="72"/>
      <c r="ENW5" s="72"/>
      <c r="ENX5" s="67"/>
      <c r="ENY5" s="67"/>
      <c r="ENZ5" s="68"/>
      <c r="EOA5" s="68"/>
      <c r="EOB5" s="68"/>
      <c r="EOC5" s="68"/>
      <c r="EOD5" s="67"/>
      <c r="EQD5" s="67"/>
      <c r="EQE5" s="67"/>
      <c r="EQF5" s="67"/>
      <c r="EQG5" s="39"/>
      <c r="EQH5" s="40"/>
      <c r="EQI5" s="39"/>
      <c r="EQJ5" s="67"/>
      <c r="EQK5" s="67"/>
      <c r="EQL5" s="68"/>
      <c r="EQM5" s="68"/>
      <c r="EQN5" s="68"/>
      <c r="EQO5" s="68"/>
      <c r="EQP5" s="91"/>
      <c r="EQQ5" s="67"/>
      <c r="EQR5" s="76"/>
      <c r="EQS5" s="72"/>
      <c r="EQT5" s="72"/>
      <c r="EQU5" s="67"/>
      <c r="EQV5" s="67"/>
      <c r="EQW5" s="68"/>
      <c r="EQX5" s="68"/>
      <c r="EQY5" s="68"/>
      <c r="EQZ5" s="68"/>
      <c r="ERA5" s="67"/>
      <c r="ETA5" s="67"/>
      <c r="ETB5" s="67"/>
      <c r="ETC5" s="67"/>
      <c r="ETD5" s="39"/>
      <c r="ETE5" s="40"/>
      <c r="ETF5" s="39"/>
      <c r="ETG5" s="67"/>
      <c r="ETH5" s="67"/>
      <c r="ETI5" s="68"/>
      <c r="ETJ5" s="68"/>
      <c r="ETK5" s="68"/>
      <c r="ETL5" s="68"/>
      <c r="ETM5" s="91"/>
      <c r="ETN5" s="67"/>
      <c r="ETO5" s="76"/>
      <c r="ETP5" s="72"/>
      <c r="ETQ5" s="72"/>
      <c r="ETR5" s="67"/>
      <c r="ETS5" s="67"/>
      <c r="ETT5" s="68"/>
      <c r="ETU5" s="68"/>
      <c r="ETV5" s="68"/>
      <c r="ETW5" s="68"/>
      <c r="ETX5" s="67"/>
      <c r="EVX5" s="67"/>
      <c r="EVY5" s="67"/>
      <c r="EVZ5" s="67"/>
      <c r="EWA5" s="39"/>
      <c r="EWB5" s="40"/>
      <c r="EWC5" s="39"/>
      <c r="EWD5" s="67"/>
      <c r="EWE5" s="67"/>
      <c r="EWF5" s="68"/>
      <c r="EWG5" s="68"/>
      <c r="EWH5" s="68"/>
      <c r="EWI5" s="68"/>
      <c r="EWJ5" s="91"/>
      <c r="EWK5" s="67"/>
      <c r="EWL5" s="76"/>
      <c r="EWM5" s="72"/>
      <c r="EWN5" s="72"/>
      <c r="EWO5" s="67"/>
      <c r="EWP5" s="67"/>
      <c r="EWQ5" s="68"/>
      <c r="EWR5" s="68"/>
      <c r="EWS5" s="68"/>
      <c r="EWT5" s="68"/>
      <c r="EWU5" s="67"/>
      <c r="EYU5" s="67"/>
      <c r="EYV5" s="67"/>
      <c r="EYW5" s="67"/>
      <c r="EYX5" s="39"/>
      <c r="EYY5" s="40"/>
      <c r="EYZ5" s="39"/>
      <c r="EZA5" s="67"/>
      <c r="EZB5" s="67"/>
      <c r="EZC5" s="68"/>
      <c r="EZD5" s="68"/>
      <c r="EZE5" s="68"/>
      <c r="EZF5" s="68"/>
      <c r="EZG5" s="91"/>
      <c r="EZH5" s="67"/>
      <c r="EZI5" s="76"/>
      <c r="EZJ5" s="72"/>
      <c r="EZK5" s="72"/>
      <c r="EZL5" s="67"/>
      <c r="EZM5" s="67"/>
      <c r="EZN5" s="68"/>
      <c r="EZO5" s="68"/>
      <c r="EZP5" s="68"/>
      <c r="EZQ5" s="68"/>
      <c r="EZR5" s="67"/>
      <c r="FBR5" s="67"/>
      <c r="FBS5" s="67"/>
      <c r="FBT5" s="67"/>
      <c r="FBU5" s="39"/>
      <c r="FBV5" s="40"/>
      <c r="FBW5" s="39"/>
      <c r="FBX5" s="67"/>
      <c r="FBY5" s="67"/>
      <c r="FBZ5" s="68"/>
      <c r="FCA5" s="68"/>
      <c r="FCB5" s="68"/>
      <c r="FCC5" s="68"/>
      <c r="FCD5" s="91"/>
      <c r="FCE5" s="67"/>
      <c r="FCF5" s="76"/>
      <c r="FCG5" s="72"/>
      <c r="FCH5" s="72"/>
      <c r="FCI5" s="67"/>
      <c r="FCJ5" s="67"/>
      <c r="FCK5" s="68"/>
      <c r="FCL5" s="68"/>
      <c r="FCM5" s="68"/>
      <c r="FCN5" s="68"/>
      <c r="FCO5" s="67"/>
      <c r="FEO5" s="67"/>
      <c r="FEP5" s="67"/>
      <c r="FEQ5" s="67"/>
      <c r="FER5" s="39"/>
      <c r="FES5" s="40"/>
      <c r="FET5" s="39"/>
      <c r="FEU5" s="67"/>
      <c r="FEV5" s="67"/>
      <c r="FEW5" s="68"/>
      <c r="FEX5" s="68"/>
      <c r="FEY5" s="68"/>
      <c r="FEZ5" s="68"/>
      <c r="FFA5" s="91"/>
      <c r="FFB5" s="67"/>
      <c r="FFC5" s="76"/>
      <c r="FFD5" s="72"/>
      <c r="FFE5" s="72"/>
      <c r="FFF5" s="67"/>
      <c r="FFG5" s="67"/>
      <c r="FFH5" s="68"/>
      <c r="FFI5" s="68"/>
      <c r="FFJ5" s="68"/>
      <c r="FFK5" s="68"/>
      <c r="FFL5" s="67"/>
      <c r="FHL5" s="67"/>
      <c r="FHM5" s="67"/>
      <c r="FHN5" s="67"/>
      <c r="FHO5" s="39"/>
      <c r="FHP5" s="40"/>
      <c r="FHQ5" s="39"/>
      <c r="FHR5" s="67"/>
      <c r="FHS5" s="67"/>
      <c r="FHT5" s="68"/>
      <c r="FHU5" s="68"/>
      <c r="FHV5" s="68"/>
      <c r="FHW5" s="68"/>
      <c r="FHX5" s="91"/>
      <c r="FHY5" s="67"/>
      <c r="FHZ5" s="76"/>
      <c r="FIA5" s="72"/>
      <c r="FIB5" s="72"/>
      <c r="FIC5" s="67"/>
      <c r="FID5" s="67"/>
      <c r="FIE5" s="68"/>
      <c r="FIF5" s="68"/>
      <c r="FIG5" s="68"/>
      <c r="FIH5" s="68"/>
      <c r="FII5" s="67"/>
      <c r="FKI5" s="67"/>
      <c r="FKJ5" s="67"/>
      <c r="FKK5" s="67"/>
      <c r="FKL5" s="39"/>
      <c r="FKM5" s="40"/>
      <c r="FKN5" s="39"/>
      <c r="FKO5" s="67"/>
      <c r="FKP5" s="67"/>
      <c r="FKQ5" s="68"/>
      <c r="FKR5" s="68"/>
      <c r="FKS5" s="68"/>
      <c r="FKT5" s="68"/>
      <c r="FKU5" s="91"/>
      <c r="FKV5" s="67"/>
      <c r="FKW5" s="76"/>
      <c r="FKX5" s="72"/>
      <c r="FKY5" s="72"/>
      <c r="FKZ5" s="67"/>
      <c r="FLA5" s="67"/>
      <c r="FLB5" s="68"/>
      <c r="FLC5" s="68"/>
      <c r="FLD5" s="68"/>
      <c r="FLE5" s="68"/>
      <c r="FLF5" s="67"/>
      <c r="FNF5" s="67"/>
      <c r="FNG5" s="67"/>
      <c r="FNH5" s="67"/>
      <c r="FNI5" s="39"/>
      <c r="FNJ5" s="40"/>
      <c r="FNK5" s="39"/>
      <c r="FNL5" s="67"/>
      <c r="FNM5" s="67"/>
      <c r="FNN5" s="68"/>
      <c r="FNO5" s="68"/>
      <c r="FNP5" s="68"/>
      <c r="FNQ5" s="68"/>
      <c r="FNR5" s="91"/>
      <c r="FNS5" s="67"/>
      <c r="FNT5" s="76"/>
      <c r="FNU5" s="72"/>
      <c r="FNV5" s="72"/>
      <c r="FNW5" s="67"/>
      <c r="FNX5" s="67"/>
      <c r="FNY5" s="68"/>
      <c r="FNZ5" s="68"/>
      <c r="FOA5" s="68"/>
      <c r="FOB5" s="68"/>
      <c r="FOC5" s="67"/>
      <c r="FQC5" s="67"/>
      <c r="FQD5" s="67"/>
      <c r="FQE5" s="67"/>
      <c r="FQF5" s="39"/>
      <c r="FQG5" s="40"/>
      <c r="FQH5" s="39"/>
      <c r="FQI5" s="67"/>
      <c r="FQJ5" s="67"/>
      <c r="FQK5" s="68"/>
      <c r="FQL5" s="68"/>
      <c r="FQM5" s="68"/>
      <c r="FQN5" s="68"/>
      <c r="FQO5" s="91"/>
      <c r="FQP5" s="67"/>
      <c r="FQQ5" s="76"/>
      <c r="FQR5" s="72"/>
      <c r="FQS5" s="72"/>
      <c r="FQT5" s="67"/>
      <c r="FQU5" s="67"/>
      <c r="FQV5" s="68"/>
      <c r="FQW5" s="68"/>
      <c r="FQX5" s="68"/>
      <c r="FQY5" s="68"/>
      <c r="FQZ5" s="67"/>
      <c r="FSZ5" s="67"/>
      <c r="FTA5" s="67"/>
      <c r="FTB5" s="67"/>
      <c r="FTC5" s="39"/>
      <c r="FTD5" s="40"/>
      <c r="FTE5" s="39"/>
      <c r="FTF5" s="67"/>
      <c r="FTG5" s="67"/>
      <c r="FTH5" s="68"/>
      <c r="FTI5" s="68"/>
      <c r="FTJ5" s="68"/>
      <c r="FTK5" s="68"/>
      <c r="FTL5" s="91"/>
      <c r="FTM5" s="67"/>
      <c r="FTN5" s="76"/>
      <c r="FTO5" s="72"/>
      <c r="FTP5" s="72"/>
      <c r="FTQ5" s="67"/>
      <c r="FTR5" s="67"/>
      <c r="FTS5" s="68"/>
      <c r="FTT5" s="68"/>
      <c r="FTU5" s="68"/>
      <c r="FTV5" s="68"/>
      <c r="FTW5" s="67"/>
      <c r="FVW5" s="67"/>
      <c r="FVX5" s="67"/>
      <c r="FVY5" s="67"/>
      <c r="FVZ5" s="39"/>
      <c r="FWA5" s="40"/>
      <c r="FWB5" s="39"/>
      <c r="FWC5" s="67"/>
      <c r="FWD5" s="67"/>
      <c r="FWE5" s="68"/>
      <c r="FWF5" s="68"/>
      <c r="FWG5" s="68"/>
      <c r="FWH5" s="68"/>
      <c r="FWI5" s="91"/>
      <c r="FWJ5" s="67"/>
      <c r="FWK5" s="76"/>
      <c r="FWL5" s="72"/>
      <c r="FWM5" s="72"/>
      <c r="FWN5" s="67"/>
      <c r="FWO5" s="67"/>
      <c r="FWP5" s="68"/>
      <c r="FWQ5" s="68"/>
      <c r="FWR5" s="68"/>
      <c r="FWS5" s="68"/>
      <c r="FWT5" s="67"/>
      <c r="FYT5" s="67"/>
      <c r="FYU5" s="67"/>
      <c r="FYV5" s="67"/>
      <c r="FYW5" s="39"/>
      <c r="FYX5" s="40"/>
      <c r="FYY5" s="39"/>
      <c r="FYZ5" s="67"/>
      <c r="FZA5" s="67"/>
      <c r="FZB5" s="68"/>
      <c r="FZC5" s="68"/>
      <c r="FZD5" s="68"/>
      <c r="FZE5" s="68"/>
      <c r="FZF5" s="91"/>
      <c r="FZG5" s="67"/>
      <c r="FZH5" s="76"/>
      <c r="FZI5" s="72"/>
      <c r="FZJ5" s="72"/>
      <c r="FZK5" s="67"/>
      <c r="FZL5" s="67"/>
      <c r="FZM5" s="68"/>
      <c r="FZN5" s="68"/>
      <c r="FZO5" s="68"/>
      <c r="FZP5" s="68"/>
      <c r="FZQ5" s="67"/>
      <c r="GBQ5" s="67"/>
      <c r="GBR5" s="67"/>
      <c r="GBS5" s="67"/>
      <c r="GBT5" s="39"/>
      <c r="GBU5" s="40"/>
      <c r="GBV5" s="39"/>
      <c r="GBW5" s="67"/>
      <c r="GBX5" s="67"/>
      <c r="GBY5" s="68"/>
      <c r="GBZ5" s="68"/>
      <c r="GCA5" s="68"/>
      <c r="GCB5" s="68"/>
      <c r="GCC5" s="91"/>
      <c r="GCD5" s="67"/>
      <c r="GCE5" s="76"/>
      <c r="GCF5" s="72"/>
      <c r="GCG5" s="72"/>
      <c r="GCH5" s="67"/>
      <c r="GCI5" s="67"/>
      <c r="GCJ5" s="68"/>
      <c r="GCK5" s="68"/>
      <c r="GCL5" s="68"/>
      <c r="GCM5" s="68"/>
      <c r="GCN5" s="67"/>
      <c r="GEN5" s="67"/>
      <c r="GEO5" s="67"/>
      <c r="GEP5" s="67"/>
      <c r="GEQ5" s="39"/>
      <c r="GER5" s="40"/>
      <c r="GES5" s="39"/>
      <c r="GET5" s="67"/>
      <c r="GEU5" s="67"/>
      <c r="GEV5" s="68"/>
      <c r="GEW5" s="68"/>
      <c r="GEX5" s="68"/>
      <c r="GEY5" s="68"/>
      <c r="GEZ5" s="91"/>
      <c r="GFA5" s="67"/>
      <c r="GFB5" s="76"/>
      <c r="GFC5" s="72"/>
      <c r="GFD5" s="72"/>
      <c r="GFE5" s="67"/>
      <c r="GFF5" s="67"/>
      <c r="GFG5" s="68"/>
      <c r="GFH5" s="68"/>
      <c r="GFI5" s="68"/>
      <c r="GFJ5" s="68"/>
      <c r="GFK5" s="67"/>
      <c r="GHK5" s="67"/>
      <c r="GHL5" s="67"/>
      <c r="GHM5" s="67"/>
      <c r="GHN5" s="39"/>
      <c r="GHO5" s="40"/>
      <c r="GHP5" s="39"/>
      <c r="GHQ5" s="67"/>
      <c r="GHR5" s="67"/>
      <c r="GHS5" s="68"/>
      <c r="GHT5" s="68"/>
      <c r="GHU5" s="68"/>
      <c r="GHV5" s="68"/>
      <c r="GHW5" s="91"/>
      <c r="GHX5" s="67"/>
      <c r="GHY5" s="76"/>
      <c r="GHZ5" s="72"/>
      <c r="GIA5" s="72"/>
      <c r="GIB5" s="67"/>
      <c r="GIC5" s="67"/>
      <c r="GID5" s="68"/>
      <c r="GIE5" s="68"/>
      <c r="GIF5" s="68"/>
      <c r="GIG5" s="68"/>
      <c r="GIH5" s="67"/>
      <c r="GKH5" s="67"/>
      <c r="GKI5" s="67"/>
      <c r="GKJ5" s="67"/>
      <c r="GKK5" s="39"/>
      <c r="GKL5" s="40"/>
      <c r="GKM5" s="39"/>
      <c r="GKN5" s="67"/>
      <c r="GKO5" s="67"/>
      <c r="GKP5" s="68"/>
      <c r="GKQ5" s="68"/>
      <c r="GKR5" s="68"/>
      <c r="GKS5" s="68"/>
      <c r="GKT5" s="91"/>
      <c r="GKU5" s="67"/>
      <c r="GKV5" s="76"/>
      <c r="GKW5" s="72"/>
      <c r="GKX5" s="72"/>
      <c r="GKY5" s="67"/>
      <c r="GKZ5" s="67"/>
      <c r="GLA5" s="68"/>
      <c r="GLB5" s="68"/>
      <c r="GLC5" s="68"/>
      <c r="GLD5" s="68"/>
      <c r="GLE5" s="67"/>
      <c r="GNE5" s="67"/>
      <c r="GNF5" s="67"/>
      <c r="GNG5" s="67"/>
      <c r="GNH5" s="39"/>
      <c r="GNI5" s="40"/>
      <c r="GNJ5" s="39"/>
      <c r="GNK5" s="67"/>
      <c r="GNL5" s="67"/>
      <c r="GNM5" s="68"/>
      <c r="GNN5" s="68"/>
      <c r="GNO5" s="68"/>
      <c r="GNP5" s="68"/>
      <c r="GNQ5" s="91"/>
      <c r="GNR5" s="67"/>
      <c r="GNS5" s="76"/>
      <c r="GNT5" s="72"/>
      <c r="GNU5" s="72"/>
      <c r="GNV5" s="67"/>
      <c r="GNW5" s="67"/>
      <c r="GNX5" s="68"/>
      <c r="GNY5" s="68"/>
      <c r="GNZ5" s="68"/>
      <c r="GOA5" s="68"/>
      <c r="GOB5" s="67"/>
      <c r="GQB5" s="67"/>
      <c r="GQC5" s="67"/>
      <c r="GQD5" s="67"/>
      <c r="GQE5" s="39"/>
      <c r="GQF5" s="40"/>
      <c r="GQG5" s="39"/>
      <c r="GQH5" s="67"/>
      <c r="GQI5" s="67"/>
      <c r="GQJ5" s="68"/>
      <c r="GQK5" s="68"/>
      <c r="GQL5" s="68"/>
      <c r="GQM5" s="68"/>
      <c r="GQN5" s="91"/>
      <c r="GQO5" s="67"/>
      <c r="GQP5" s="76"/>
      <c r="GQQ5" s="72"/>
      <c r="GQR5" s="72"/>
      <c r="GQS5" s="67"/>
      <c r="GQT5" s="67"/>
      <c r="GQU5" s="68"/>
      <c r="GQV5" s="68"/>
      <c r="GQW5" s="68"/>
      <c r="GQX5" s="68"/>
      <c r="GQY5" s="67"/>
      <c r="GSY5" s="67"/>
      <c r="GSZ5" s="67"/>
      <c r="GTA5" s="67"/>
      <c r="GTB5" s="39"/>
      <c r="GTC5" s="40"/>
      <c r="GTD5" s="39"/>
      <c r="GTE5" s="67"/>
      <c r="GTF5" s="67"/>
      <c r="GTG5" s="68"/>
      <c r="GTH5" s="68"/>
      <c r="GTI5" s="68"/>
      <c r="GTJ5" s="68"/>
      <c r="GTK5" s="91"/>
      <c r="GTL5" s="67"/>
      <c r="GTM5" s="76"/>
      <c r="GTN5" s="72"/>
      <c r="GTO5" s="72"/>
      <c r="GTP5" s="67"/>
      <c r="GTQ5" s="67"/>
      <c r="GTR5" s="68"/>
      <c r="GTS5" s="68"/>
      <c r="GTT5" s="68"/>
      <c r="GTU5" s="68"/>
      <c r="GTV5" s="67"/>
      <c r="GVV5" s="67"/>
      <c r="GVW5" s="67"/>
      <c r="GVX5" s="67"/>
      <c r="GVY5" s="39"/>
      <c r="GVZ5" s="40"/>
      <c r="GWA5" s="39"/>
      <c r="GWB5" s="67"/>
      <c r="GWC5" s="67"/>
      <c r="GWD5" s="68"/>
      <c r="GWE5" s="68"/>
      <c r="GWF5" s="68"/>
      <c r="GWG5" s="68"/>
      <c r="GWH5" s="91"/>
      <c r="GWI5" s="67"/>
      <c r="GWJ5" s="76"/>
      <c r="GWK5" s="72"/>
      <c r="GWL5" s="72"/>
      <c r="GWM5" s="67"/>
      <c r="GWN5" s="67"/>
      <c r="GWO5" s="68"/>
      <c r="GWP5" s="68"/>
      <c r="GWQ5" s="68"/>
      <c r="GWR5" s="68"/>
      <c r="GWS5" s="67"/>
      <c r="GYS5" s="67"/>
      <c r="GYT5" s="67"/>
      <c r="GYU5" s="67"/>
      <c r="GYV5" s="39"/>
      <c r="GYW5" s="40"/>
      <c r="GYX5" s="39"/>
      <c r="GYY5" s="67"/>
      <c r="GYZ5" s="67"/>
      <c r="GZA5" s="68"/>
      <c r="GZB5" s="68"/>
      <c r="GZC5" s="68"/>
      <c r="GZD5" s="68"/>
      <c r="GZE5" s="91"/>
      <c r="GZF5" s="67"/>
      <c r="GZG5" s="76"/>
      <c r="GZH5" s="72"/>
      <c r="GZI5" s="72"/>
      <c r="GZJ5" s="67"/>
      <c r="GZK5" s="67"/>
      <c r="GZL5" s="68"/>
      <c r="GZM5" s="68"/>
      <c r="GZN5" s="68"/>
      <c r="GZO5" s="68"/>
      <c r="GZP5" s="67"/>
      <c r="HBP5" s="67"/>
      <c r="HBQ5" s="67"/>
      <c r="HBR5" s="67"/>
      <c r="HBS5" s="39"/>
      <c r="HBT5" s="40"/>
      <c r="HBU5" s="39"/>
      <c r="HBV5" s="67"/>
      <c r="HBW5" s="67"/>
      <c r="HBX5" s="68"/>
      <c r="HBY5" s="68"/>
      <c r="HBZ5" s="68"/>
      <c r="HCA5" s="68"/>
      <c r="HCB5" s="91"/>
      <c r="HCC5" s="67"/>
      <c r="HCD5" s="76"/>
      <c r="HCE5" s="72"/>
      <c r="HCF5" s="72"/>
      <c r="HCG5" s="67"/>
      <c r="HCH5" s="67"/>
      <c r="HCI5" s="68"/>
      <c r="HCJ5" s="68"/>
      <c r="HCK5" s="68"/>
      <c r="HCL5" s="68"/>
      <c r="HCM5" s="67"/>
      <c r="HEM5" s="67"/>
      <c r="HEN5" s="67"/>
      <c r="HEO5" s="67"/>
      <c r="HEP5" s="39"/>
      <c r="HEQ5" s="40"/>
      <c r="HER5" s="39"/>
      <c r="HES5" s="67"/>
      <c r="HET5" s="67"/>
      <c r="HEU5" s="68"/>
      <c r="HEV5" s="68"/>
      <c r="HEW5" s="68"/>
      <c r="HEX5" s="68"/>
      <c r="HEY5" s="91"/>
      <c r="HEZ5" s="67"/>
      <c r="HFA5" s="76"/>
      <c r="HFB5" s="72"/>
      <c r="HFC5" s="72"/>
      <c r="HFD5" s="67"/>
      <c r="HFE5" s="67"/>
      <c r="HFF5" s="68"/>
      <c r="HFG5" s="68"/>
      <c r="HFH5" s="68"/>
      <c r="HFI5" s="68"/>
      <c r="HFJ5" s="67"/>
      <c r="HHJ5" s="67"/>
      <c r="HHK5" s="67"/>
      <c r="HHL5" s="67"/>
      <c r="HHM5" s="39"/>
      <c r="HHN5" s="40"/>
      <c r="HHO5" s="39"/>
      <c r="HHP5" s="67"/>
      <c r="HHQ5" s="67"/>
      <c r="HHR5" s="68"/>
      <c r="HHS5" s="68"/>
      <c r="HHT5" s="68"/>
      <c r="HHU5" s="68"/>
      <c r="HHV5" s="91"/>
      <c r="HHW5" s="67"/>
      <c r="HHX5" s="76"/>
      <c r="HHY5" s="72"/>
      <c r="HHZ5" s="72"/>
      <c r="HIA5" s="67"/>
      <c r="HIB5" s="67"/>
      <c r="HIC5" s="68"/>
      <c r="HID5" s="68"/>
      <c r="HIE5" s="68"/>
      <c r="HIF5" s="68"/>
      <c r="HIG5" s="67"/>
      <c r="HKG5" s="67"/>
      <c r="HKH5" s="67"/>
      <c r="HKI5" s="67"/>
      <c r="HKJ5" s="39"/>
      <c r="HKK5" s="40"/>
      <c r="HKL5" s="39"/>
      <c r="HKM5" s="67"/>
      <c r="HKN5" s="67"/>
      <c r="HKO5" s="68"/>
      <c r="HKP5" s="68"/>
      <c r="HKQ5" s="68"/>
      <c r="HKR5" s="68"/>
      <c r="HKS5" s="91"/>
      <c r="HKT5" s="67"/>
      <c r="HKU5" s="76"/>
      <c r="HKV5" s="72"/>
      <c r="HKW5" s="72"/>
      <c r="HKX5" s="67"/>
      <c r="HKY5" s="67"/>
      <c r="HKZ5" s="68"/>
      <c r="HLA5" s="68"/>
      <c r="HLB5" s="68"/>
      <c r="HLC5" s="68"/>
      <c r="HLD5" s="67"/>
      <c r="HND5" s="67"/>
      <c r="HNE5" s="67"/>
      <c r="HNF5" s="67"/>
      <c r="HNG5" s="39"/>
      <c r="HNH5" s="40"/>
      <c r="HNI5" s="39"/>
      <c r="HNJ5" s="67"/>
      <c r="HNK5" s="67"/>
      <c r="HNL5" s="68"/>
      <c r="HNM5" s="68"/>
      <c r="HNN5" s="68"/>
      <c r="HNO5" s="68"/>
      <c r="HNP5" s="91"/>
      <c r="HNQ5" s="67"/>
      <c r="HNR5" s="76"/>
      <c r="HNS5" s="72"/>
      <c r="HNT5" s="72"/>
      <c r="HNU5" s="67"/>
      <c r="HNV5" s="67"/>
      <c r="HNW5" s="68"/>
      <c r="HNX5" s="68"/>
      <c r="HNY5" s="68"/>
      <c r="HNZ5" s="68"/>
      <c r="HOA5" s="67"/>
      <c r="HQA5" s="67"/>
      <c r="HQB5" s="67"/>
      <c r="HQC5" s="67"/>
      <c r="HQD5" s="39"/>
      <c r="HQE5" s="40"/>
      <c r="HQF5" s="39"/>
      <c r="HQG5" s="67"/>
      <c r="HQH5" s="67"/>
      <c r="HQI5" s="68"/>
      <c r="HQJ5" s="68"/>
      <c r="HQK5" s="68"/>
      <c r="HQL5" s="68"/>
      <c r="HQM5" s="91"/>
      <c r="HQN5" s="67"/>
      <c r="HQO5" s="76"/>
      <c r="HQP5" s="72"/>
      <c r="HQQ5" s="72"/>
      <c r="HQR5" s="67"/>
      <c r="HQS5" s="67"/>
      <c r="HQT5" s="68"/>
      <c r="HQU5" s="68"/>
      <c r="HQV5" s="68"/>
      <c r="HQW5" s="68"/>
      <c r="HQX5" s="67"/>
      <c r="HSX5" s="67"/>
      <c r="HSY5" s="67"/>
      <c r="HSZ5" s="67"/>
      <c r="HTA5" s="39"/>
      <c r="HTB5" s="40"/>
      <c r="HTC5" s="39"/>
      <c r="HTD5" s="67"/>
      <c r="HTE5" s="67"/>
      <c r="HTF5" s="68"/>
      <c r="HTG5" s="68"/>
      <c r="HTH5" s="68"/>
      <c r="HTI5" s="68"/>
      <c r="HTJ5" s="91"/>
      <c r="HTK5" s="67"/>
      <c r="HTL5" s="76"/>
      <c r="HTM5" s="72"/>
      <c r="HTN5" s="72"/>
      <c r="HTO5" s="67"/>
      <c r="HTP5" s="67"/>
      <c r="HTQ5" s="68"/>
      <c r="HTR5" s="68"/>
      <c r="HTS5" s="68"/>
      <c r="HTT5" s="68"/>
      <c r="HTU5" s="67"/>
      <c r="HVU5" s="67"/>
      <c r="HVV5" s="67"/>
      <c r="HVW5" s="67"/>
      <c r="HVX5" s="39"/>
      <c r="HVY5" s="40"/>
      <c r="HVZ5" s="39"/>
      <c r="HWA5" s="67"/>
      <c r="HWB5" s="67"/>
      <c r="HWC5" s="68"/>
      <c r="HWD5" s="68"/>
      <c r="HWE5" s="68"/>
      <c r="HWF5" s="68"/>
      <c r="HWG5" s="91"/>
      <c r="HWH5" s="67"/>
      <c r="HWI5" s="76"/>
      <c r="HWJ5" s="72"/>
      <c r="HWK5" s="72"/>
      <c r="HWL5" s="67"/>
      <c r="HWM5" s="67"/>
      <c r="HWN5" s="68"/>
      <c r="HWO5" s="68"/>
      <c r="HWP5" s="68"/>
      <c r="HWQ5" s="68"/>
      <c r="HWR5" s="67"/>
      <c r="HYR5" s="67"/>
      <c r="HYS5" s="67"/>
      <c r="HYT5" s="67"/>
      <c r="HYU5" s="39"/>
      <c r="HYV5" s="40"/>
      <c r="HYW5" s="39"/>
      <c r="HYX5" s="67"/>
      <c r="HYY5" s="67"/>
      <c r="HYZ5" s="68"/>
      <c r="HZA5" s="68"/>
      <c r="HZB5" s="68"/>
      <c r="HZC5" s="68"/>
      <c r="HZD5" s="91"/>
      <c r="HZE5" s="67"/>
      <c r="HZF5" s="76"/>
      <c r="HZG5" s="72"/>
      <c r="HZH5" s="72"/>
      <c r="HZI5" s="67"/>
      <c r="HZJ5" s="67"/>
      <c r="HZK5" s="68"/>
      <c r="HZL5" s="68"/>
      <c r="HZM5" s="68"/>
      <c r="HZN5" s="68"/>
      <c r="HZO5" s="67"/>
      <c r="IBO5" s="67"/>
      <c r="IBP5" s="67"/>
      <c r="IBQ5" s="67"/>
      <c r="IBR5" s="39"/>
      <c r="IBS5" s="40"/>
      <c r="IBT5" s="39"/>
      <c r="IBU5" s="67"/>
      <c r="IBV5" s="67"/>
      <c r="IBW5" s="68"/>
      <c r="IBX5" s="68"/>
      <c r="IBY5" s="68"/>
      <c r="IBZ5" s="68"/>
      <c r="ICA5" s="91"/>
      <c r="ICB5" s="67"/>
      <c r="ICC5" s="76"/>
      <c r="ICD5" s="72"/>
      <c r="ICE5" s="72"/>
      <c r="ICF5" s="67"/>
      <c r="ICG5" s="67"/>
      <c r="ICH5" s="68"/>
      <c r="ICI5" s="68"/>
      <c r="ICJ5" s="68"/>
      <c r="ICK5" s="68"/>
      <c r="ICL5" s="67"/>
      <c r="IEL5" s="67"/>
      <c r="IEM5" s="67"/>
      <c r="IEN5" s="67"/>
      <c r="IEO5" s="39"/>
      <c r="IEP5" s="40"/>
      <c r="IEQ5" s="39"/>
      <c r="IER5" s="67"/>
      <c r="IES5" s="67"/>
      <c r="IET5" s="68"/>
      <c r="IEU5" s="68"/>
      <c r="IEV5" s="68"/>
      <c r="IEW5" s="68"/>
      <c r="IEX5" s="91"/>
      <c r="IEY5" s="67"/>
      <c r="IEZ5" s="76"/>
      <c r="IFA5" s="72"/>
      <c r="IFB5" s="72"/>
      <c r="IFC5" s="67"/>
      <c r="IFD5" s="67"/>
      <c r="IFE5" s="68"/>
      <c r="IFF5" s="68"/>
      <c r="IFG5" s="68"/>
      <c r="IFH5" s="68"/>
      <c r="IFI5" s="67"/>
      <c r="IHI5" s="67"/>
      <c r="IHJ5" s="67"/>
      <c r="IHK5" s="67"/>
      <c r="IHL5" s="39"/>
      <c r="IHM5" s="40"/>
      <c r="IHN5" s="39"/>
      <c r="IHO5" s="67"/>
      <c r="IHP5" s="67"/>
      <c r="IHQ5" s="68"/>
      <c r="IHR5" s="68"/>
      <c r="IHS5" s="68"/>
      <c r="IHT5" s="68"/>
      <c r="IHU5" s="91"/>
      <c r="IHV5" s="67"/>
      <c r="IHW5" s="76"/>
      <c r="IHX5" s="72"/>
      <c r="IHY5" s="72"/>
      <c r="IHZ5" s="67"/>
      <c r="IIA5" s="67"/>
      <c r="IIB5" s="68"/>
      <c r="IIC5" s="68"/>
      <c r="IID5" s="68"/>
      <c r="IIE5" s="68"/>
      <c r="IIF5" s="67"/>
      <c r="IKF5" s="67"/>
      <c r="IKG5" s="67"/>
      <c r="IKH5" s="67"/>
      <c r="IKI5" s="39"/>
      <c r="IKJ5" s="40"/>
      <c r="IKK5" s="39"/>
      <c r="IKL5" s="67"/>
      <c r="IKM5" s="67"/>
      <c r="IKN5" s="68"/>
      <c r="IKO5" s="68"/>
      <c r="IKP5" s="68"/>
      <c r="IKQ5" s="68"/>
      <c r="IKR5" s="91"/>
      <c r="IKS5" s="67"/>
      <c r="IKT5" s="76"/>
      <c r="IKU5" s="72"/>
      <c r="IKV5" s="72"/>
      <c r="IKW5" s="67"/>
      <c r="IKX5" s="67"/>
      <c r="IKY5" s="68"/>
      <c r="IKZ5" s="68"/>
      <c r="ILA5" s="68"/>
      <c r="ILB5" s="68"/>
      <c r="ILC5" s="67"/>
      <c r="INC5" s="67"/>
      <c r="IND5" s="67"/>
      <c r="INE5" s="67"/>
      <c r="INF5" s="39"/>
      <c r="ING5" s="40"/>
      <c r="INH5" s="39"/>
      <c r="INI5" s="67"/>
      <c r="INJ5" s="67"/>
      <c r="INK5" s="68"/>
      <c r="INL5" s="68"/>
      <c r="INM5" s="68"/>
      <c r="INN5" s="68"/>
      <c r="INO5" s="91"/>
      <c r="INP5" s="67"/>
      <c r="INQ5" s="76"/>
      <c r="INR5" s="72"/>
      <c r="INS5" s="72"/>
      <c r="INT5" s="67"/>
      <c r="INU5" s="67"/>
      <c r="INV5" s="68"/>
      <c r="INW5" s="68"/>
      <c r="INX5" s="68"/>
      <c r="INY5" s="68"/>
      <c r="INZ5" s="67"/>
      <c r="IPZ5" s="67"/>
      <c r="IQA5" s="67"/>
      <c r="IQB5" s="67"/>
      <c r="IQC5" s="39"/>
      <c r="IQD5" s="40"/>
      <c r="IQE5" s="39"/>
      <c r="IQF5" s="67"/>
      <c r="IQG5" s="67"/>
      <c r="IQH5" s="68"/>
      <c r="IQI5" s="68"/>
      <c r="IQJ5" s="68"/>
      <c r="IQK5" s="68"/>
      <c r="IQL5" s="91"/>
      <c r="IQM5" s="67"/>
      <c r="IQN5" s="76"/>
      <c r="IQO5" s="72"/>
      <c r="IQP5" s="72"/>
      <c r="IQQ5" s="67"/>
      <c r="IQR5" s="67"/>
      <c r="IQS5" s="68"/>
      <c r="IQT5" s="68"/>
      <c r="IQU5" s="68"/>
      <c r="IQV5" s="68"/>
      <c r="IQW5" s="67"/>
      <c r="ISW5" s="67"/>
      <c r="ISX5" s="67"/>
      <c r="ISY5" s="67"/>
      <c r="ISZ5" s="39"/>
      <c r="ITA5" s="40"/>
      <c r="ITB5" s="39"/>
      <c r="ITC5" s="67"/>
      <c r="ITD5" s="67"/>
      <c r="ITE5" s="68"/>
      <c r="ITF5" s="68"/>
      <c r="ITG5" s="68"/>
      <c r="ITH5" s="68"/>
      <c r="ITI5" s="91"/>
      <c r="ITJ5" s="67"/>
      <c r="ITK5" s="76"/>
      <c r="ITL5" s="72"/>
      <c r="ITM5" s="72"/>
      <c r="ITN5" s="67"/>
      <c r="ITO5" s="67"/>
      <c r="ITP5" s="68"/>
      <c r="ITQ5" s="68"/>
      <c r="ITR5" s="68"/>
      <c r="ITS5" s="68"/>
      <c r="ITT5" s="67"/>
      <c r="IVT5" s="67"/>
      <c r="IVU5" s="67"/>
      <c r="IVV5" s="67"/>
      <c r="IVW5" s="39"/>
      <c r="IVX5" s="40"/>
      <c r="IVY5" s="39"/>
      <c r="IVZ5" s="67"/>
      <c r="IWA5" s="67"/>
      <c r="IWB5" s="68"/>
      <c r="IWC5" s="68"/>
      <c r="IWD5" s="68"/>
      <c r="IWE5" s="68"/>
      <c r="IWF5" s="91"/>
      <c r="IWG5" s="67"/>
      <c r="IWH5" s="76"/>
      <c r="IWI5" s="72"/>
      <c r="IWJ5" s="72"/>
      <c r="IWK5" s="67"/>
      <c r="IWL5" s="67"/>
      <c r="IWM5" s="68"/>
      <c r="IWN5" s="68"/>
      <c r="IWO5" s="68"/>
      <c r="IWP5" s="68"/>
      <c r="IWQ5" s="67"/>
      <c r="IYQ5" s="67"/>
      <c r="IYR5" s="67"/>
      <c r="IYS5" s="67"/>
      <c r="IYT5" s="39"/>
      <c r="IYU5" s="40"/>
      <c r="IYV5" s="39"/>
      <c r="IYW5" s="67"/>
      <c r="IYX5" s="67"/>
      <c r="IYY5" s="68"/>
      <c r="IYZ5" s="68"/>
      <c r="IZA5" s="68"/>
      <c r="IZB5" s="68"/>
      <c r="IZC5" s="91"/>
      <c r="IZD5" s="67"/>
      <c r="IZE5" s="76"/>
      <c r="IZF5" s="72"/>
      <c r="IZG5" s="72"/>
      <c r="IZH5" s="67"/>
      <c r="IZI5" s="67"/>
      <c r="IZJ5" s="68"/>
      <c r="IZK5" s="68"/>
      <c r="IZL5" s="68"/>
      <c r="IZM5" s="68"/>
      <c r="IZN5" s="67"/>
      <c r="JBN5" s="67"/>
      <c r="JBO5" s="67"/>
      <c r="JBP5" s="67"/>
      <c r="JBQ5" s="39"/>
      <c r="JBR5" s="40"/>
      <c r="JBS5" s="39"/>
      <c r="JBT5" s="67"/>
      <c r="JBU5" s="67"/>
      <c r="JBV5" s="68"/>
      <c r="JBW5" s="68"/>
      <c r="JBX5" s="68"/>
      <c r="JBY5" s="68"/>
      <c r="JBZ5" s="91"/>
      <c r="JCA5" s="67"/>
      <c r="JCB5" s="76"/>
      <c r="JCC5" s="72"/>
      <c r="JCD5" s="72"/>
      <c r="JCE5" s="67"/>
      <c r="JCF5" s="67"/>
      <c r="JCG5" s="68"/>
      <c r="JCH5" s="68"/>
      <c r="JCI5" s="68"/>
      <c r="JCJ5" s="68"/>
      <c r="JCK5" s="67"/>
      <c r="JEK5" s="67"/>
      <c r="JEL5" s="67"/>
      <c r="JEM5" s="67"/>
      <c r="JEN5" s="39"/>
      <c r="JEO5" s="40"/>
      <c r="JEP5" s="39"/>
      <c r="JEQ5" s="67"/>
      <c r="JER5" s="67"/>
      <c r="JES5" s="68"/>
      <c r="JET5" s="68"/>
      <c r="JEU5" s="68"/>
      <c r="JEV5" s="68"/>
      <c r="JEW5" s="91"/>
      <c r="JEX5" s="67"/>
      <c r="JEY5" s="76"/>
      <c r="JEZ5" s="72"/>
      <c r="JFA5" s="72"/>
      <c r="JFB5" s="67"/>
      <c r="JFC5" s="67"/>
      <c r="JFD5" s="68"/>
      <c r="JFE5" s="68"/>
      <c r="JFF5" s="68"/>
      <c r="JFG5" s="68"/>
      <c r="JFH5" s="67"/>
      <c r="JHH5" s="67"/>
      <c r="JHI5" s="67"/>
      <c r="JHJ5" s="67"/>
      <c r="JHK5" s="39"/>
      <c r="JHL5" s="40"/>
      <c r="JHM5" s="39"/>
      <c r="JHN5" s="67"/>
      <c r="JHO5" s="67"/>
      <c r="JHP5" s="68"/>
      <c r="JHQ5" s="68"/>
      <c r="JHR5" s="68"/>
      <c r="JHS5" s="68"/>
      <c r="JHT5" s="91"/>
      <c r="JHU5" s="67"/>
      <c r="JHV5" s="76"/>
      <c r="JHW5" s="72"/>
      <c r="JHX5" s="72"/>
      <c r="JHY5" s="67"/>
      <c r="JHZ5" s="67"/>
      <c r="JIA5" s="68"/>
      <c r="JIB5" s="68"/>
      <c r="JIC5" s="68"/>
      <c r="JID5" s="68"/>
      <c r="JIE5" s="67"/>
      <c r="JKE5" s="67"/>
      <c r="JKF5" s="67"/>
      <c r="JKG5" s="67"/>
      <c r="JKH5" s="39"/>
      <c r="JKI5" s="40"/>
      <c r="JKJ5" s="39"/>
      <c r="JKK5" s="67"/>
      <c r="JKL5" s="67"/>
      <c r="JKM5" s="68"/>
      <c r="JKN5" s="68"/>
      <c r="JKO5" s="68"/>
      <c r="JKP5" s="68"/>
      <c r="JKQ5" s="91"/>
      <c r="JKR5" s="67"/>
      <c r="JKS5" s="76"/>
      <c r="JKT5" s="72"/>
      <c r="JKU5" s="72"/>
      <c r="JKV5" s="67"/>
      <c r="JKW5" s="67"/>
      <c r="JKX5" s="68"/>
      <c r="JKY5" s="68"/>
      <c r="JKZ5" s="68"/>
      <c r="JLA5" s="68"/>
      <c r="JLB5" s="67"/>
      <c r="JNB5" s="67"/>
      <c r="JNC5" s="67"/>
      <c r="JND5" s="67"/>
      <c r="JNE5" s="39"/>
      <c r="JNF5" s="40"/>
      <c r="JNG5" s="39"/>
      <c r="JNH5" s="67"/>
      <c r="JNI5" s="67"/>
      <c r="JNJ5" s="68"/>
      <c r="JNK5" s="68"/>
      <c r="JNL5" s="68"/>
      <c r="JNM5" s="68"/>
      <c r="JNN5" s="91"/>
      <c r="JNO5" s="67"/>
      <c r="JNP5" s="76"/>
      <c r="JNQ5" s="72"/>
      <c r="JNR5" s="72"/>
      <c r="JNS5" s="67"/>
      <c r="JNT5" s="67"/>
      <c r="JNU5" s="68"/>
      <c r="JNV5" s="68"/>
      <c r="JNW5" s="68"/>
      <c r="JNX5" s="68"/>
      <c r="JNY5" s="67"/>
      <c r="JPY5" s="67"/>
      <c r="JPZ5" s="67"/>
      <c r="JQA5" s="67"/>
      <c r="JQB5" s="39"/>
      <c r="JQC5" s="40"/>
      <c r="JQD5" s="39"/>
      <c r="JQE5" s="67"/>
      <c r="JQF5" s="67"/>
      <c r="JQG5" s="68"/>
      <c r="JQH5" s="68"/>
      <c r="JQI5" s="68"/>
      <c r="JQJ5" s="68"/>
      <c r="JQK5" s="91"/>
      <c r="JQL5" s="67"/>
      <c r="JQM5" s="76"/>
      <c r="JQN5" s="72"/>
      <c r="JQO5" s="72"/>
      <c r="JQP5" s="67"/>
      <c r="JQQ5" s="67"/>
      <c r="JQR5" s="68"/>
      <c r="JQS5" s="68"/>
      <c r="JQT5" s="68"/>
      <c r="JQU5" s="68"/>
      <c r="JQV5" s="67"/>
      <c r="JSV5" s="67"/>
      <c r="JSW5" s="67"/>
      <c r="JSX5" s="67"/>
      <c r="JSY5" s="39"/>
      <c r="JSZ5" s="40"/>
      <c r="JTA5" s="39"/>
      <c r="JTB5" s="67"/>
      <c r="JTC5" s="67"/>
      <c r="JTD5" s="68"/>
      <c r="JTE5" s="68"/>
      <c r="JTF5" s="68"/>
      <c r="JTG5" s="68"/>
      <c r="JTH5" s="91"/>
      <c r="JTI5" s="67"/>
      <c r="JTJ5" s="76"/>
      <c r="JTK5" s="72"/>
      <c r="JTL5" s="72"/>
      <c r="JTM5" s="67"/>
      <c r="JTN5" s="67"/>
      <c r="JTO5" s="68"/>
      <c r="JTP5" s="68"/>
      <c r="JTQ5" s="68"/>
      <c r="JTR5" s="68"/>
      <c r="JTS5" s="67"/>
      <c r="JVS5" s="67"/>
      <c r="JVT5" s="67"/>
      <c r="JVU5" s="67"/>
      <c r="JVV5" s="39"/>
      <c r="JVW5" s="40"/>
      <c r="JVX5" s="39"/>
      <c r="JVY5" s="67"/>
      <c r="JVZ5" s="67"/>
      <c r="JWA5" s="68"/>
      <c r="JWB5" s="68"/>
      <c r="JWC5" s="68"/>
      <c r="JWD5" s="68"/>
      <c r="JWE5" s="91"/>
      <c r="JWF5" s="67"/>
      <c r="JWG5" s="76"/>
      <c r="JWH5" s="72"/>
      <c r="JWI5" s="72"/>
      <c r="JWJ5" s="67"/>
      <c r="JWK5" s="67"/>
      <c r="JWL5" s="68"/>
      <c r="JWM5" s="68"/>
      <c r="JWN5" s="68"/>
      <c r="JWO5" s="68"/>
      <c r="JWP5" s="67"/>
      <c r="JYP5" s="67"/>
      <c r="JYQ5" s="67"/>
      <c r="JYR5" s="67"/>
      <c r="JYS5" s="39"/>
      <c r="JYT5" s="40"/>
      <c r="JYU5" s="39"/>
      <c r="JYV5" s="67"/>
      <c r="JYW5" s="67"/>
      <c r="JYX5" s="68"/>
      <c r="JYY5" s="68"/>
      <c r="JYZ5" s="68"/>
      <c r="JZA5" s="68"/>
      <c r="JZB5" s="91"/>
      <c r="JZC5" s="67"/>
      <c r="JZD5" s="76"/>
      <c r="JZE5" s="72"/>
      <c r="JZF5" s="72"/>
      <c r="JZG5" s="67"/>
      <c r="JZH5" s="67"/>
      <c r="JZI5" s="68"/>
      <c r="JZJ5" s="68"/>
      <c r="JZK5" s="68"/>
      <c r="JZL5" s="68"/>
      <c r="JZM5" s="67"/>
      <c r="KBM5" s="67"/>
      <c r="KBN5" s="67"/>
      <c r="KBO5" s="67"/>
      <c r="KBP5" s="39"/>
      <c r="KBQ5" s="40"/>
      <c r="KBR5" s="39"/>
      <c r="KBS5" s="67"/>
      <c r="KBT5" s="67"/>
      <c r="KBU5" s="68"/>
      <c r="KBV5" s="68"/>
      <c r="KBW5" s="68"/>
      <c r="KBX5" s="68"/>
      <c r="KBY5" s="91"/>
      <c r="KBZ5" s="67"/>
      <c r="KCA5" s="76"/>
      <c r="KCB5" s="72"/>
      <c r="KCC5" s="72"/>
      <c r="KCD5" s="67"/>
      <c r="KCE5" s="67"/>
      <c r="KCF5" s="68"/>
      <c r="KCG5" s="68"/>
      <c r="KCH5" s="68"/>
      <c r="KCI5" s="68"/>
      <c r="KCJ5" s="67"/>
      <c r="KEJ5" s="67"/>
      <c r="KEK5" s="67"/>
      <c r="KEL5" s="67"/>
      <c r="KEM5" s="39"/>
      <c r="KEN5" s="40"/>
      <c r="KEO5" s="39"/>
      <c r="KEP5" s="67"/>
      <c r="KEQ5" s="67"/>
      <c r="KER5" s="68"/>
      <c r="KES5" s="68"/>
      <c r="KET5" s="68"/>
      <c r="KEU5" s="68"/>
      <c r="KEV5" s="91"/>
      <c r="KEW5" s="67"/>
      <c r="KEX5" s="76"/>
      <c r="KEY5" s="72"/>
      <c r="KEZ5" s="72"/>
      <c r="KFA5" s="67"/>
      <c r="KFB5" s="67"/>
      <c r="KFC5" s="68"/>
      <c r="KFD5" s="68"/>
      <c r="KFE5" s="68"/>
      <c r="KFF5" s="68"/>
      <c r="KFG5" s="67"/>
      <c r="KHG5" s="67"/>
      <c r="KHH5" s="67"/>
      <c r="KHI5" s="67"/>
      <c r="KHJ5" s="39"/>
      <c r="KHK5" s="40"/>
      <c r="KHL5" s="39"/>
      <c r="KHM5" s="67"/>
      <c r="KHN5" s="67"/>
      <c r="KHO5" s="68"/>
      <c r="KHP5" s="68"/>
      <c r="KHQ5" s="68"/>
      <c r="KHR5" s="68"/>
      <c r="KHS5" s="91"/>
      <c r="KHT5" s="67"/>
      <c r="KHU5" s="76"/>
      <c r="KHV5" s="72"/>
      <c r="KHW5" s="72"/>
      <c r="KHX5" s="67"/>
      <c r="KHY5" s="67"/>
      <c r="KHZ5" s="68"/>
      <c r="KIA5" s="68"/>
      <c r="KIB5" s="68"/>
      <c r="KIC5" s="68"/>
      <c r="KID5" s="67"/>
      <c r="KKD5" s="67"/>
      <c r="KKE5" s="67"/>
      <c r="KKF5" s="67"/>
      <c r="KKG5" s="39"/>
      <c r="KKH5" s="40"/>
      <c r="KKI5" s="39"/>
      <c r="KKJ5" s="67"/>
      <c r="KKK5" s="67"/>
      <c r="KKL5" s="68"/>
      <c r="KKM5" s="68"/>
      <c r="KKN5" s="68"/>
      <c r="KKO5" s="68"/>
      <c r="KKP5" s="91"/>
      <c r="KKQ5" s="67"/>
      <c r="KKR5" s="76"/>
      <c r="KKS5" s="72"/>
      <c r="KKT5" s="72"/>
      <c r="KKU5" s="67"/>
      <c r="KKV5" s="67"/>
      <c r="KKW5" s="68"/>
      <c r="KKX5" s="68"/>
      <c r="KKY5" s="68"/>
      <c r="KKZ5" s="68"/>
      <c r="KLA5" s="67"/>
      <c r="KNA5" s="67"/>
      <c r="KNB5" s="67"/>
      <c r="KNC5" s="67"/>
      <c r="KND5" s="39"/>
      <c r="KNE5" s="40"/>
      <c r="KNF5" s="39"/>
      <c r="KNG5" s="67"/>
      <c r="KNH5" s="67"/>
      <c r="KNI5" s="68"/>
      <c r="KNJ5" s="68"/>
      <c r="KNK5" s="68"/>
      <c r="KNL5" s="68"/>
      <c r="KNM5" s="91"/>
      <c r="KNN5" s="67"/>
      <c r="KNO5" s="76"/>
      <c r="KNP5" s="72"/>
      <c r="KNQ5" s="72"/>
      <c r="KNR5" s="67"/>
      <c r="KNS5" s="67"/>
      <c r="KNT5" s="68"/>
      <c r="KNU5" s="68"/>
      <c r="KNV5" s="68"/>
      <c r="KNW5" s="68"/>
      <c r="KNX5" s="67"/>
      <c r="KPX5" s="67"/>
      <c r="KPY5" s="67"/>
      <c r="KPZ5" s="67"/>
      <c r="KQA5" s="39"/>
      <c r="KQB5" s="40"/>
      <c r="KQC5" s="39"/>
      <c r="KQD5" s="67"/>
      <c r="KQE5" s="67"/>
      <c r="KQF5" s="68"/>
      <c r="KQG5" s="68"/>
      <c r="KQH5" s="68"/>
      <c r="KQI5" s="68"/>
      <c r="KQJ5" s="91"/>
      <c r="KQK5" s="67"/>
      <c r="KQL5" s="76"/>
      <c r="KQM5" s="72"/>
      <c r="KQN5" s="72"/>
      <c r="KQO5" s="67"/>
      <c r="KQP5" s="67"/>
      <c r="KQQ5" s="68"/>
      <c r="KQR5" s="68"/>
      <c r="KQS5" s="68"/>
      <c r="KQT5" s="68"/>
      <c r="KQU5" s="67"/>
      <c r="KSU5" s="67"/>
      <c r="KSV5" s="67"/>
      <c r="KSW5" s="67"/>
      <c r="KSX5" s="39"/>
      <c r="KSY5" s="40"/>
      <c r="KSZ5" s="39"/>
      <c r="KTA5" s="67"/>
      <c r="KTB5" s="67"/>
      <c r="KTC5" s="68"/>
      <c r="KTD5" s="68"/>
      <c r="KTE5" s="68"/>
      <c r="KTF5" s="68"/>
      <c r="KTG5" s="91"/>
      <c r="KTH5" s="67"/>
      <c r="KTI5" s="76"/>
      <c r="KTJ5" s="72"/>
      <c r="KTK5" s="72"/>
      <c r="KTL5" s="67"/>
      <c r="KTM5" s="67"/>
      <c r="KTN5" s="68"/>
      <c r="KTO5" s="68"/>
      <c r="KTP5" s="68"/>
      <c r="KTQ5" s="68"/>
      <c r="KTR5" s="67"/>
      <c r="KVR5" s="67"/>
      <c r="KVS5" s="67"/>
      <c r="KVT5" s="67"/>
      <c r="KVU5" s="39"/>
      <c r="KVV5" s="40"/>
      <c r="KVW5" s="39"/>
      <c r="KVX5" s="67"/>
      <c r="KVY5" s="67"/>
      <c r="KVZ5" s="68"/>
      <c r="KWA5" s="68"/>
      <c r="KWB5" s="68"/>
      <c r="KWC5" s="68"/>
      <c r="KWD5" s="91"/>
      <c r="KWE5" s="67"/>
      <c r="KWF5" s="76"/>
      <c r="KWG5" s="72"/>
      <c r="KWH5" s="72"/>
      <c r="KWI5" s="67"/>
      <c r="KWJ5" s="67"/>
      <c r="KWK5" s="68"/>
      <c r="KWL5" s="68"/>
      <c r="KWM5" s="68"/>
      <c r="KWN5" s="68"/>
      <c r="KWO5" s="67"/>
      <c r="KYO5" s="67"/>
      <c r="KYP5" s="67"/>
      <c r="KYQ5" s="67"/>
      <c r="KYR5" s="39"/>
      <c r="KYS5" s="40"/>
      <c r="KYT5" s="39"/>
      <c r="KYU5" s="67"/>
      <c r="KYV5" s="67"/>
      <c r="KYW5" s="68"/>
      <c r="KYX5" s="68"/>
      <c r="KYY5" s="68"/>
      <c r="KYZ5" s="68"/>
      <c r="KZA5" s="91"/>
      <c r="KZB5" s="67"/>
      <c r="KZC5" s="76"/>
      <c r="KZD5" s="72"/>
      <c r="KZE5" s="72"/>
      <c r="KZF5" s="67"/>
      <c r="KZG5" s="67"/>
      <c r="KZH5" s="68"/>
      <c r="KZI5" s="68"/>
      <c r="KZJ5" s="68"/>
      <c r="KZK5" s="68"/>
      <c r="KZL5" s="67"/>
      <c r="LBL5" s="67"/>
      <c r="LBM5" s="67"/>
      <c r="LBN5" s="67"/>
      <c r="LBO5" s="39"/>
      <c r="LBP5" s="40"/>
      <c r="LBQ5" s="39"/>
      <c r="LBR5" s="67"/>
      <c r="LBS5" s="67"/>
      <c r="LBT5" s="68"/>
      <c r="LBU5" s="68"/>
      <c r="LBV5" s="68"/>
      <c r="LBW5" s="68"/>
      <c r="LBX5" s="91"/>
      <c r="LBY5" s="67"/>
      <c r="LBZ5" s="76"/>
      <c r="LCA5" s="72"/>
      <c r="LCB5" s="72"/>
      <c r="LCC5" s="67"/>
      <c r="LCD5" s="67"/>
      <c r="LCE5" s="68"/>
      <c r="LCF5" s="68"/>
      <c r="LCG5" s="68"/>
      <c r="LCH5" s="68"/>
      <c r="LCI5" s="67"/>
      <c r="LEI5" s="67"/>
      <c r="LEJ5" s="67"/>
      <c r="LEK5" s="67"/>
      <c r="LEL5" s="39"/>
      <c r="LEM5" s="40"/>
      <c r="LEN5" s="39"/>
      <c r="LEO5" s="67"/>
      <c r="LEP5" s="67"/>
      <c r="LEQ5" s="68"/>
      <c r="LER5" s="68"/>
      <c r="LES5" s="68"/>
      <c r="LET5" s="68"/>
      <c r="LEU5" s="91"/>
      <c r="LEV5" s="67"/>
      <c r="LEW5" s="76"/>
      <c r="LEX5" s="72"/>
      <c r="LEY5" s="72"/>
      <c r="LEZ5" s="67"/>
      <c r="LFA5" s="67"/>
      <c r="LFB5" s="68"/>
      <c r="LFC5" s="68"/>
      <c r="LFD5" s="68"/>
      <c r="LFE5" s="68"/>
      <c r="LFF5" s="67"/>
      <c r="LHF5" s="67"/>
      <c r="LHG5" s="67"/>
      <c r="LHH5" s="67"/>
      <c r="LHI5" s="39"/>
      <c r="LHJ5" s="40"/>
      <c r="LHK5" s="39"/>
      <c r="LHL5" s="67"/>
      <c r="LHM5" s="67"/>
      <c r="LHN5" s="68"/>
      <c r="LHO5" s="68"/>
      <c r="LHP5" s="68"/>
      <c r="LHQ5" s="68"/>
      <c r="LHR5" s="91"/>
      <c r="LHS5" s="67"/>
      <c r="LHT5" s="76"/>
      <c r="LHU5" s="72"/>
      <c r="LHV5" s="72"/>
      <c r="LHW5" s="67"/>
      <c r="LHX5" s="67"/>
      <c r="LHY5" s="68"/>
      <c r="LHZ5" s="68"/>
      <c r="LIA5" s="68"/>
      <c r="LIB5" s="68"/>
      <c r="LIC5" s="67"/>
      <c r="LKC5" s="67"/>
      <c r="LKD5" s="67"/>
      <c r="LKE5" s="67"/>
      <c r="LKF5" s="39"/>
      <c r="LKG5" s="40"/>
      <c r="LKH5" s="39"/>
      <c r="LKI5" s="67"/>
      <c r="LKJ5" s="67"/>
      <c r="LKK5" s="68"/>
      <c r="LKL5" s="68"/>
      <c r="LKM5" s="68"/>
      <c r="LKN5" s="68"/>
      <c r="LKO5" s="91"/>
      <c r="LKP5" s="67"/>
      <c r="LKQ5" s="76"/>
      <c r="LKR5" s="72"/>
      <c r="LKS5" s="72"/>
      <c r="LKT5" s="67"/>
      <c r="LKU5" s="67"/>
      <c r="LKV5" s="68"/>
      <c r="LKW5" s="68"/>
      <c r="LKX5" s="68"/>
      <c r="LKY5" s="68"/>
      <c r="LKZ5" s="67"/>
      <c r="LMZ5" s="67"/>
      <c r="LNA5" s="67"/>
      <c r="LNB5" s="67"/>
      <c r="LNC5" s="39"/>
      <c r="LND5" s="40"/>
      <c r="LNE5" s="39"/>
      <c r="LNF5" s="67"/>
      <c r="LNG5" s="67"/>
      <c r="LNH5" s="68"/>
      <c r="LNI5" s="68"/>
      <c r="LNJ5" s="68"/>
      <c r="LNK5" s="68"/>
      <c r="LNL5" s="91"/>
      <c r="LNM5" s="67"/>
      <c r="LNN5" s="76"/>
      <c r="LNO5" s="72"/>
      <c r="LNP5" s="72"/>
      <c r="LNQ5" s="67"/>
      <c r="LNR5" s="67"/>
      <c r="LNS5" s="68"/>
      <c r="LNT5" s="68"/>
      <c r="LNU5" s="68"/>
      <c r="LNV5" s="68"/>
      <c r="LNW5" s="67"/>
      <c r="LPW5" s="67"/>
      <c r="LPX5" s="67"/>
      <c r="LPY5" s="67"/>
      <c r="LPZ5" s="39"/>
      <c r="LQA5" s="40"/>
      <c r="LQB5" s="39"/>
      <c r="LQC5" s="67"/>
      <c r="LQD5" s="67"/>
      <c r="LQE5" s="68"/>
      <c r="LQF5" s="68"/>
      <c r="LQG5" s="68"/>
      <c r="LQH5" s="68"/>
      <c r="LQI5" s="91"/>
      <c r="LQJ5" s="67"/>
      <c r="LQK5" s="76"/>
      <c r="LQL5" s="72"/>
      <c r="LQM5" s="72"/>
      <c r="LQN5" s="67"/>
      <c r="LQO5" s="67"/>
      <c r="LQP5" s="68"/>
      <c r="LQQ5" s="68"/>
      <c r="LQR5" s="68"/>
      <c r="LQS5" s="68"/>
      <c r="LQT5" s="67"/>
      <c r="LST5" s="67"/>
      <c r="LSU5" s="67"/>
      <c r="LSV5" s="67"/>
      <c r="LSW5" s="39"/>
      <c r="LSX5" s="40"/>
      <c r="LSY5" s="39"/>
      <c r="LSZ5" s="67"/>
      <c r="LTA5" s="67"/>
      <c r="LTB5" s="68"/>
      <c r="LTC5" s="68"/>
      <c r="LTD5" s="68"/>
      <c r="LTE5" s="68"/>
      <c r="LTF5" s="91"/>
      <c r="LTG5" s="67"/>
      <c r="LTH5" s="76"/>
      <c r="LTI5" s="72"/>
      <c r="LTJ5" s="72"/>
      <c r="LTK5" s="67"/>
      <c r="LTL5" s="67"/>
      <c r="LTM5" s="68"/>
      <c r="LTN5" s="68"/>
      <c r="LTO5" s="68"/>
      <c r="LTP5" s="68"/>
      <c r="LTQ5" s="67"/>
      <c r="LVQ5" s="67"/>
      <c r="LVR5" s="67"/>
      <c r="LVS5" s="67"/>
      <c r="LVT5" s="39"/>
      <c r="LVU5" s="40"/>
      <c r="LVV5" s="39"/>
      <c r="LVW5" s="67"/>
      <c r="LVX5" s="67"/>
      <c r="LVY5" s="68"/>
      <c r="LVZ5" s="68"/>
      <c r="LWA5" s="68"/>
      <c r="LWB5" s="68"/>
      <c r="LWC5" s="91"/>
      <c r="LWD5" s="67"/>
      <c r="LWE5" s="76"/>
      <c r="LWF5" s="72"/>
      <c r="LWG5" s="72"/>
      <c r="LWH5" s="67"/>
      <c r="LWI5" s="67"/>
      <c r="LWJ5" s="68"/>
      <c r="LWK5" s="68"/>
      <c r="LWL5" s="68"/>
      <c r="LWM5" s="68"/>
      <c r="LWN5" s="67"/>
      <c r="LYN5" s="67"/>
      <c r="LYO5" s="67"/>
      <c r="LYP5" s="67"/>
      <c r="LYQ5" s="39"/>
      <c r="LYR5" s="40"/>
      <c r="LYS5" s="39"/>
      <c r="LYT5" s="67"/>
      <c r="LYU5" s="67"/>
      <c r="LYV5" s="68"/>
      <c r="LYW5" s="68"/>
      <c r="LYX5" s="68"/>
      <c r="LYY5" s="68"/>
      <c r="LYZ5" s="91"/>
      <c r="LZA5" s="67"/>
      <c r="LZB5" s="76"/>
      <c r="LZC5" s="72"/>
      <c r="LZD5" s="72"/>
      <c r="LZE5" s="67"/>
      <c r="LZF5" s="67"/>
      <c r="LZG5" s="68"/>
      <c r="LZH5" s="68"/>
      <c r="LZI5" s="68"/>
      <c r="LZJ5" s="68"/>
      <c r="LZK5" s="67"/>
      <c r="MBK5" s="67"/>
      <c r="MBL5" s="67"/>
      <c r="MBM5" s="67"/>
      <c r="MBN5" s="39"/>
      <c r="MBO5" s="40"/>
      <c r="MBP5" s="39"/>
      <c r="MBQ5" s="67"/>
      <c r="MBR5" s="67"/>
      <c r="MBS5" s="68"/>
      <c r="MBT5" s="68"/>
      <c r="MBU5" s="68"/>
      <c r="MBV5" s="68"/>
      <c r="MBW5" s="91"/>
      <c r="MBX5" s="67"/>
      <c r="MBY5" s="76"/>
      <c r="MBZ5" s="72"/>
      <c r="MCA5" s="72"/>
      <c r="MCB5" s="67"/>
      <c r="MCC5" s="67"/>
      <c r="MCD5" s="68"/>
      <c r="MCE5" s="68"/>
      <c r="MCF5" s="68"/>
      <c r="MCG5" s="68"/>
      <c r="MCH5" s="67"/>
      <c r="MEH5" s="67"/>
      <c r="MEI5" s="67"/>
      <c r="MEJ5" s="67"/>
      <c r="MEK5" s="39"/>
      <c r="MEL5" s="40"/>
      <c r="MEM5" s="39"/>
      <c r="MEN5" s="67"/>
      <c r="MEO5" s="67"/>
      <c r="MEP5" s="68"/>
      <c r="MEQ5" s="68"/>
      <c r="MER5" s="68"/>
      <c r="MES5" s="68"/>
      <c r="MET5" s="91"/>
      <c r="MEU5" s="67"/>
      <c r="MEV5" s="76"/>
      <c r="MEW5" s="72"/>
      <c r="MEX5" s="72"/>
      <c r="MEY5" s="67"/>
      <c r="MEZ5" s="67"/>
      <c r="MFA5" s="68"/>
      <c r="MFB5" s="68"/>
      <c r="MFC5" s="68"/>
      <c r="MFD5" s="68"/>
      <c r="MFE5" s="67"/>
      <c r="MHE5" s="67"/>
      <c r="MHF5" s="67"/>
      <c r="MHG5" s="67"/>
      <c r="MHH5" s="39"/>
      <c r="MHI5" s="40"/>
      <c r="MHJ5" s="39"/>
      <c r="MHK5" s="67"/>
      <c r="MHL5" s="67"/>
      <c r="MHM5" s="68"/>
      <c r="MHN5" s="68"/>
      <c r="MHO5" s="68"/>
      <c r="MHP5" s="68"/>
      <c r="MHQ5" s="91"/>
      <c r="MHR5" s="67"/>
      <c r="MHS5" s="76"/>
      <c r="MHT5" s="72"/>
      <c r="MHU5" s="72"/>
      <c r="MHV5" s="67"/>
      <c r="MHW5" s="67"/>
      <c r="MHX5" s="68"/>
      <c r="MHY5" s="68"/>
      <c r="MHZ5" s="68"/>
      <c r="MIA5" s="68"/>
      <c r="MIB5" s="67"/>
      <c r="MKB5" s="67"/>
      <c r="MKC5" s="67"/>
      <c r="MKD5" s="67"/>
      <c r="MKE5" s="39"/>
      <c r="MKF5" s="40"/>
      <c r="MKG5" s="39"/>
      <c r="MKH5" s="67"/>
      <c r="MKI5" s="67"/>
      <c r="MKJ5" s="68"/>
      <c r="MKK5" s="68"/>
      <c r="MKL5" s="68"/>
      <c r="MKM5" s="68"/>
      <c r="MKN5" s="91"/>
      <c r="MKO5" s="67"/>
      <c r="MKP5" s="76"/>
      <c r="MKQ5" s="72"/>
      <c r="MKR5" s="72"/>
      <c r="MKS5" s="67"/>
      <c r="MKT5" s="67"/>
      <c r="MKU5" s="68"/>
      <c r="MKV5" s="68"/>
      <c r="MKW5" s="68"/>
      <c r="MKX5" s="68"/>
      <c r="MKY5" s="67"/>
      <c r="MMY5" s="67"/>
      <c r="MMZ5" s="67"/>
      <c r="MNA5" s="67"/>
      <c r="MNB5" s="39"/>
      <c r="MNC5" s="40"/>
      <c r="MND5" s="39"/>
      <c r="MNE5" s="67"/>
      <c r="MNF5" s="67"/>
      <c r="MNG5" s="68"/>
      <c r="MNH5" s="68"/>
      <c r="MNI5" s="68"/>
      <c r="MNJ5" s="68"/>
      <c r="MNK5" s="91"/>
      <c r="MNL5" s="67"/>
      <c r="MNM5" s="76"/>
      <c r="MNN5" s="72"/>
      <c r="MNO5" s="72"/>
      <c r="MNP5" s="67"/>
      <c r="MNQ5" s="67"/>
      <c r="MNR5" s="68"/>
      <c r="MNS5" s="68"/>
      <c r="MNT5" s="68"/>
      <c r="MNU5" s="68"/>
      <c r="MNV5" s="67"/>
      <c r="MPV5" s="67"/>
      <c r="MPW5" s="67"/>
      <c r="MPX5" s="67"/>
      <c r="MPY5" s="39"/>
      <c r="MPZ5" s="40"/>
      <c r="MQA5" s="39"/>
      <c r="MQB5" s="67"/>
      <c r="MQC5" s="67"/>
      <c r="MQD5" s="68"/>
      <c r="MQE5" s="68"/>
      <c r="MQF5" s="68"/>
      <c r="MQG5" s="68"/>
      <c r="MQH5" s="91"/>
      <c r="MQI5" s="67"/>
      <c r="MQJ5" s="76"/>
      <c r="MQK5" s="72"/>
      <c r="MQL5" s="72"/>
      <c r="MQM5" s="67"/>
      <c r="MQN5" s="67"/>
      <c r="MQO5" s="68"/>
      <c r="MQP5" s="68"/>
      <c r="MQQ5" s="68"/>
      <c r="MQR5" s="68"/>
      <c r="MQS5" s="67"/>
      <c r="MSS5" s="67"/>
      <c r="MST5" s="67"/>
      <c r="MSU5" s="67"/>
      <c r="MSV5" s="39"/>
      <c r="MSW5" s="40"/>
      <c r="MSX5" s="39"/>
      <c r="MSY5" s="67"/>
      <c r="MSZ5" s="67"/>
      <c r="MTA5" s="68"/>
      <c r="MTB5" s="68"/>
      <c r="MTC5" s="68"/>
      <c r="MTD5" s="68"/>
      <c r="MTE5" s="91"/>
      <c r="MTF5" s="67"/>
      <c r="MTG5" s="76"/>
      <c r="MTH5" s="72"/>
      <c r="MTI5" s="72"/>
      <c r="MTJ5" s="67"/>
      <c r="MTK5" s="67"/>
      <c r="MTL5" s="68"/>
      <c r="MTM5" s="68"/>
      <c r="MTN5" s="68"/>
      <c r="MTO5" s="68"/>
      <c r="MTP5" s="67"/>
      <c r="MVP5" s="67"/>
      <c r="MVQ5" s="67"/>
      <c r="MVR5" s="67"/>
      <c r="MVS5" s="39"/>
      <c r="MVT5" s="40"/>
      <c r="MVU5" s="39"/>
      <c r="MVV5" s="67"/>
      <c r="MVW5" s="67"/>
      <c r="MVX5" s="68"/>
      <c r="MVY5" s="68"/>
      <c r="MVZ5" s="68"/>
      <c r="MWA5" s="68"/>
      <c r="MWB5" s="91"/>
      <c r="MWC5" s="67"/>
      <c r="MWD5" s="76"/>
      <c r="MWE5" s="72"/>
      <c r="MWF5" s="72"/>
      <c r="MWG5" s="67"/>
      <c r="MWH5" s="67"/>
      <c r="MWI5" s="68"/>
      <c r="MWJ5" s="68"/>
      <c r="MWK5" s="68"/>
      <c r="MWL5" s="68"/>
      <c r="MWM5" s="67"/>
      <c r="MYM5" s="67"/>
      <c r="MYN5" s="67"/>
      <c r="MYO5" s="67"/>
      <c r="MYP5" s="39"/>
      <c r="MYQ5" s="40"/>
      <c r="MYR5" s="39"/>
      <c r="MYS5" s="67"/>
      <c r="MYT5" s="67"/>
      <c r="MYU5" s="68"/>
      <c r="MYV5" s="68"/>
      <c r="MYW5" s="68"/>
      <c r="MYX5" s="68"/>
      <c r="MYY5" s="91"/>
      <c r="MYZ5" s="67"/>
      <c r="MZA5" s="76"/>
      <c r="MZB5" s="72"/>
      <c r="MZC5" s="72"/>
      <c r="MZD5" s="67"/>
      <c r="MZE5" s="67"/>
      <c r="MZF5" s="68"/>
      <c r="MZG5" s="68"/>
      <c r="MZH5" s="68"/>
      <c r="MZI5" s="68"/>
      <c r="MZJ5" s="67"/>
      <c r="NBJ5" s="67"/>
      <c r="NBK5" s="67"/>
      <c r="NBL5" s="67"/>
      <c r="NBM5" s="39"/>
      <c r="NBN5" s="40"/>
      <c r="NBO5" s="39"/>
      <c r="NBP5" s="67"/>
      <c r="NBQ5" s="67"/>
      <c r="NBR5" s="68"/>
      <c r="NBS5" s="68"/>
      <c r="NBT5" s="68"/>
      <c r="NBU5" s="68"/>
      <c r="NBV5" s="91"/>
      <c r="NBW5" s="67"/>
      <c r="NBX5" s="76"/>
      <c r="NBY5" s="72"/>
      <c r="NBZ5" s="72"/>
      <c r="NCA5" s="67"/>
      <c r="NCB5" s="67"/>
      <c r="NCC5" s="68"/>
      <c r="NCD5" s="68"/>
      <c r="NCE5" s="68"/>
      <c r="NCF5" s="68"/>
      <c r="NCG5" s="67"/>
      <c r="NEG5" s="67"/>
      <c r="NEH5" s="67"/>
      <c r="NEI5" s="67"/>
      <c r="NEJ5" s="39"/>
      <c r="NEK5" s="40"/>
      <c r="NEL5" s="39"/>
      <c r="NEM5" s="67"/>
      <c r="NEN5" s="67"/>
      <c r="NEO5" s="68"/>
      <c r="NEP5" s="68"/>
      <c r="NEQ5" s="68"/>
      <c r="NER5" s="68"/>
      <c r="NES5" s="91"/>
      <c r="NET5" s="67"/>
      <c r="NEU5" s="76"/>
      <c r="NEV5" s="72"/>
      <c r="NEW5" s="72"/>
      <c r="NEX5" s="67"/>
      <c r="NEY5" s="67"/>
      <c r="NEZ5" s="68"/>
      <c r="NFA5" s="68"/>
      <c r="NFB5" s="68"/>
      <c r="NFC5" s="68"/>
      <c r="NFD5" s="67"/>
      <c r="NHD5" s="67"/>
      <c r="NHE5" s="67"/>
      <c r="NHF5" s="67"/>
      <c r="NHG5" s="39"/>
      <c r="NHH5" s="40"/>
      <c r="NHI5" s="39"/>
      <c r="NHJ5" s="67"/>
      <c r="NHK5" s="67"/>
      <c r="NHL5" s="68"/>
      <c r="NHM5" s="68"/>
      <c r="NHN5" s="68"/>
      <c r="NHO5" s="68"/>
      <c r="NHP5" s="91"/>
      <c r="NHQ5" s="67"/>
      <c r="NHR5" s="76"/>
      <c r="NHS5" s="72"/>
      <c r="NHT5" s="72"/>
      <c r="NHU5" s="67"/>
      <c r="NHV5" s="67"/>
      <c r="NHW5" s="68"/>
      <c r="NHX5" s="68"/>
      <c r="NHY5" s="68"/>
      <c r="NHZ5" s="68"/>
      <c r="NIA5" s="67"/>
      <c r="NKA5" s="67"/>
      <c r="NKB5" s="67"/>
      <c r="NKC5" s="67"/>
      <c r="NKD5" s="39"/>
      <c r="NKE5" s="40"/>
      <c r="NKF5" s="39"/>
      <c r="NKG5" s="67"/>
      <c r="NKH5" s="67"/>
      <c r="NKI5" s="68"/>
      <c r="NKJ5" s="68"/>
      <c r="NKK5" s="68"/>
      <c r="NKL5" s="68"/>
      <c r="NKM5" s="91"/>
      <c r="NKN5" s="67"/>
      <c r="NKO5" s="76"/>
      <c r="NKP5" s="72"/>
      <c r="NKQ5" s="72"/>
      <c r="NKR5" s="67"/>
      <c r="NKS5" s="67"/>
      <c r="NKT5" s="68"/>
      <c r="NKU5" s="68"/>
      <c r="NKV5" s="68"/>
      <c r="NKW5" s="68"/>
      <c r="NKX5" s="67"/>
      <c r="NMX5" s="67"/>
      <c r="NMY5" s="67"/>
      <c r="NMZ5" s="67"/>
      <c r="NNA5" s="39"/>
      <c r="NNB5" s="40"/>
      <c r="NNC5" s="39"/>
      <c r="NND5" s="67"/>
      <c r="NNE5" s="67"/>
      <c r="NNF5" s="68"/>
      <c r="NNG5" s="68"/>
      <c r="NNH5" s="68"/>
      <c r="NNI5" s="68"/>
      <c r="NNJ5" s="91"/>
      <c r="NNK5" s="67"/>
      <c r="NNL5" s="76"/>
      <c r="NNM5" s="72"/>
      <c r="NNN5" s="72"/>
      <c r="NNO5" s="67"/>
      <c r="NNP5" s="67"/>
      <c r="NNQ5" s="68"/>
      <c r="NNR5" s="68"/>
      <c r="NNS5" s="68"/>
      <c r="NNT5" s="68"/>
      <c r="NNU5" s="67"/>
      <c r="NPU5" s="67"/>
      <c r="NPV5" s="67"/>
      <c r="NPW5" s="67"/>
      <c r="NPX5" s="39"/>
      <c r="NPY5" s="40"/>
      <c r="NPZ5" s="39"/>
      <c r="NQA5" s="67"/>
      <c r="NQB5" s="67"/>
      <c r="NQC5" s="68"/>
      <c r="NQD5" s="68"/>
      <c r="NQE5" s="68"/>
      <c r="NQF5" s="68"/>
      <c r="NQG5" s="91"/>
      <c r="NQH5" s="67"/>
      <c r="NQI5" s="76"/>
      <c r="NQJ5" s="72"/>
      <c r="NQK5" s="72"/>
      <c r="NQL5" s="67"/>
      <c r="NQM5" s="67"/>
      <c r="NQN5" s="68"/>
      <c r="NQO5" s="68"/>
      <c r="NQP5" s="68"/>
      <c r="NQQ5" s="68"/>
      <c r="NQR5" s="67"/>
      <c r="NSR5" s="67"/>
      <c r="NSS5" s="67"/>
      <c r="NST5" s="67"/>
      <c r="NSU5" s="39"/>
      <c r="NSV5" s="40"/>
      <c r="NSW5" s="39"/>
      <c r="NSX5" s="67"/>
      <c r="NSY5" s="67"/>
      <c r="NSZ5" s="68"/>
      <c r="NTA5" s="68"/>
      <c r="NTB5" s="68"/>
      <c r="NTC5" s="68"/>
      <c r="NTD5" s="91"/>
      <c r="NTE5" s="67"/>
      <c r="NTF5" s="76"/>
      <c r="NTG5" s="72"/>
      <c r="NTH5" s="72"/>
      <c r="NTI5" s="67"/>
      <c r="NTJ5" s="67"/>
      <c r="NTK5" s="68"/>
      <c r="NTL5" s="68"/>
      <c r="NTM5" s="68"/>
      <c r="NTN5" s="68"/>
      <c r="NTO5" s="67"/>
      <c r="NVO5" s="67"/>
      <c r="NVP5" s="67"/>
      <c r="NVQ5" s="67"/>
      <c r="NVR5" s="39"/>
      <c r="NVS5" s="40"/>
      <c r="NVT5" s="39"/>
      <c r="NVU5" s="67"/>
      <c r="NVV5" s="67"/>
      <c r="NVW5" s="68"/>
      <c r="NVX5" s="68"/>
      <c r="NVY5" s="68"/>
      <c r="NVZ5" s="68"/>
      <c r="NWA5" s="91"/>
      <c r="NWB5" s="67"/>
      <c r="NWC5" s="76"/>
      <c r="NWD5" s="72"/>
      <c r="NWE5" s="72"/>
      <c r="NWF5" s="67"/>
      <c r="NWG5" s="67"/>
      <c r="NWH5" s="68"/>
      <c r="NWI5" s="68"/>
      <c r="NWJ5" s="68"/>
      <c r="NWK5" s="68"/>
      <c r="NWL5" s="67"/>
      <c r="NYL5" s="67"/>
      <c r="NYM5" s="67"/>
      <c r="NYN5" s="67"/>
      <c r="NYO5" s="39"/>
      <c r="NYP5" s="40"/>
      <c r="NYQ5" s="39"/>
      <c r="NYR5" s="67"/>
      <c r="NYS5" s="67"/>
      <c r="NYT5" s="68"/>
      <c r="NYU5" s="68"/>
      <c r="NYV5" s="68"/>
      <c r="NYW5" s="68"/>
      <c r="NYX5" s="91"/>
      <c r="NYY5" s="67"/>
      <c r="NYZ5" s="76"/>
      <c r="NZA5" s="72"/>
      <c r="NZB5" s="72"/>
      <c r="NZC5" s="67"/>
      <c r="NZD5" s="67"/>
      <c r="NZE5" s="68"/>
      <c r="NZF5" s="68"/>
      <c r="NZG5" s="68"/>
      <c r="NZH5" s="68"/>
      <c r="NZI5" s="67"/>
      <c r="OBI5" s="67"/>
      <c r="OBJ5" s="67"/>
      <c r="OBK5" s="67"/>
      <c r="OBL5" s="39"/>
      <c r="OBM5" s="40"/>
      <c r="OBN5" s="39"/>
      <c r="OBO5" s="67"/>
      <c r="OBP5" s="67"/>
      <c r="OBQ5" s="68"/>
      <c r="OBR5" s="68"/>
      <c r="OBS5" s="68"/>
      <c r="OBT5" s="68"/>
      <c r="OBU5" s="91"/>
      <c r="OBV5" s="67"/>
      <c r="OBW5" s="76"/>
      <c r="OBX5" s="72"/>
      <c r="OBY5" s="72"/>
      <c r="OBZ5" s="67"/>
      <c r="OCA5" s="67"/>
      <c r="OCB5" s="68"/>
      <c r="OCC5" s="68"/>
      <c r="OCD5" s="68"/>
      <c r="OCE5" s="68"/>
      <c r="OCF5" s="67"/>
      <c r="OEF5" s="67"/>
      <c r="OEG5" s="67"/>
      <c r="OEH5" s="67"/>
      <c r="OEI5" s="39"/>
      <c r="OEJ5" s="40"/>
      <c r="OEK5" s="39"/>
      <c r="OEL5" s="67"/>
      <c r="OEM5" s="67"/>
      <c r="OEN5" s="68"/>
      <c r="OEO5" s="68"/>
      <c r="OEP5" s="68"/>
      <c r="OEQ5" s="68"/>
      <c r="OER5" s="91"/>
      <c r="OES5" s="67"/>
      <c r="OET5" s="76"/>
      <c r="OEU5" s="72"/>
      <c r="OEV5" s="72"/>
      <c r="OEW5" s="67"/>
      <c r="OEX5" s="67"/>
      <c r="OEY5" s="68"/>
      <c r="OEZ5" s="68"/>
      <c r="OFA5" s="68"/>
      <c r="OFB5" s="68"/>
      <c r="OFC5" s="67"/>
      <c r="OHC5" s="67"/>
      <c r="OHD5" s="67"/>
      <c r="OHE5" s="67"/>
      <c r="OHF5" s="39"/>
      <c r="OHG5" s="40"/>
      <c r="OHH5" s="39"/>
      <c r="OHI5" s="67"/>
      <c r="OHJ5" s="67"/>
      <c r="OHK5" s="68"/>
      <c r="OHL5" s="68"/>
      <c r="OHM5" s="68"/>
      <c r="OHN5" s="68"/>
      <c r="OHO5" s="91"/>
      <c r="OHP5" s="67"/>
      <c r="OHQ5" s="76"/>
      <c r="OHR5" s="72"/>
      <c r="OHS5" s="72"/>
      <c r="OHT5" s="67"/>
      <c r="OHU5" s="67"/>
      <c r="OHV5" s="68"/>
      <c r="OHW5" s="68"/>
      <c r="OHX5" s="68"/>
      <c r="OHY5" s="68"/>
      <c r="OHZ5" s="67"/>
      <c r="OJZ5" s="67"/>
      <c r="OKA5" s="67"/>
      <c r="OKB5" s="67"/>
      <c r="OKC5" s="39"/>
      <c r="OKD5" s="40"/>
      <c r="OKE5" s="39"/>
      <c r="OKF5" s="67"/>
      <c r="OKG5" s="67"/>
      <c r="OKH5" s="68"/>
      <c r="OKI5" s="68"/>
      <c r="OKJ5" s="68"/>
      <c r="OKK5" s="68"/>
      <c r="OKL5" s="91"/>
      <c r="OKM5" s="67"/>
      <c r="OKN5" s="76"/>
      <c r="OKO5" s="72"/>
      <c r="OKP5" s="72"/>
      <c r="OKQ5" s="67"/>
      <c r="OKR5" s="67"/>
      <c r="OKS5" s="68"/>
      <c r="OKT5" s="68"/>
      <c r="OKU5" s="68"/>
      <c r="OKV5" s="68"/>
      <c r="OKW5" s="67"/>
      <c r="OMW5" s="67"/>
      <c r="OMX5" s="67"/>
      <c r="OMY5" s="67"/>
      <c r="OMZ5" s="39"/>
      <c r="ONA5" s="40"/>
      <c r="ONB5" s="39"/>
      <c r="ONC5" s="67"/>
      <c r="OND5" s="67"/>
      <c r="ONE5" s="68"/>
      <c r="ONF5" s="68"/>
      <c r="ONG5" s="68"/>
      <c r="ONH5" s="68"/>
      <c r="ONI5" s="91"/>
      <c r="ONJ5" s="67"/>
      <c r="ONK5" s="76"/>
      <c r="ONL5" s="72"/>
      <c r="ONM5" s="72"/>
      <c r="ONN5" s="67"/>
      <c r="ONO5" s="67"/>
      <c r="ONP5" s="68"/>
      <c r="ONQ5" s="68"/>
      <c r="ONR5" s="68"/>
      <c r="ONS5" s="68"/>
      <c r="ONT5" s="67"/>
      <c r="OPT5" s="67"/>
      <c r="OPU5" s="67"/>
      <c r="OPV5" s="67"/>
      <c r="OPW5" s="39"/>
      <c r="OPX5" s="40"/>
      <c r="OPY5" s="39"/>
      <c r="OPZ5" s="67"/>
      <c r="OQA5" s="67"/>
      <c r="OQB5" s="68"/>
      <c r="OQC5" s="68"/>
      <c r="OQD5" s="68"/>
      <c r="OQE5" s="68"/>
      <c r="OQF5" s="91"/>
      <c r="OQG5" s="67"/>
      <c r="OQH5" s="76"/>
      <c r="OQI5" s="72"/>
      <c r="OQJ5" s="72"/>
      <c r="OQK5" s="67"/>
      <c r="OQL5" s="67"/>
      <c r="OQM5" s="68"/>
      <c r="OQN5" s="68"/>
      <c r="OQO5" s="68"/>
      <c r="OQP5" s="68"/>
      <c r="OQQ5" s="67"/>
      <c r="OSQ5" s="67"/>
      <c r="OSR5" s="67"/>
      <c r="OSS5" s="67"/>
      <c r="OST5" s="39"/>
      <c r="OSU5" s="40"/>
      <c r="OSV5" s="39"/>
      <c r="OSW5" s="67"/>
      <c r="OSX5" s="67"/>
      <c r="OSY5" s="68"/>
      <c r="OSZ5" s="68"/>
      <c r="OTA5" s="68"/>
      <c r="OTB5" s="68"/>
      <c r="OTC5" s="91"/>
      <c r="OTD5" s="67"/>
      <c r="OTE5" s="76"/>
      <c r="OTF5" s="72"/>
      <c r="OTG5" s="72"/>
      <c r="OTH5" s="67"/>
      <c r="OTI5" s="67"/>
      <c r="OTJ5" s="68"/>
      <c r="OTK5" s="68"/>
      <c r="OTL5" s="68"/>
      <c r="OTM5" s="68"/>
      <c r="OTN5" s="67"/>
      <c r="OVN5" s="67"/>
      <c r="OVO5" s="67"/>
      <c r="OVP5" s="67"/>
      <c r="OVQ5" s="39"/>
      <c r="OVR5" s="40"/>
      <c r="OVS5" s="39"/>
      <c r="OVT5" s="67"/>
      <c r="OVU5" s="67"/>
      <c r="OVV5" s="68"/>
      <c r="OVW5" s="68"/>
      <c r="OVX5" s="68"/>
      <c r="OVY5" s="68"/>
      <c r="OVZ5" s="91"/>
      <c r="OWA5" s="67"/>
      <c r="OWB5" s="76"/>
      <c r="OWC5" s="72"/>
      <c r="OWD5" s="72"/>
      <c r="OWE5" s="67"/>
      <c r="OWF5" s="67"/>
      <c r="OWG5" s="68"/>
      <c r="OWH5" s="68"/>
      <c r="OWI5" s="68"/>
      <c r="OWJ5" s="68"/>
      <c r="OWK5" s="67"/>
      <c r="OYK5" s="67"/>
      <c r="OYL5" s="67"/>
      <c r="OYM5" s="67"/>
      <c r="OYN5" s="39"/>
      <c r="OYO5" s="40"/>
      <c r="OYP5" s="39"/>
      <c r="OYQ5" s="67"/>
      <c r="OYR5" s="67"/>
      <c r="OYS5" s="68"/>
      <c r="OYT5" s="68"/>
      <c r="OYU5" s="68"/>
      <c r="OYV5" s="68"/>
      <c r="OYW5" s="91"/>
      <c r="OYX5" s="67"/>
      <c r="OYY5" s="76"/>
      <c r="OYZ5" s="72"/>
      <c r="OZA5" s="72"/>
      <c r="OZB5" s="67"/>
      <c r="OZC5" s="67"/>
      <c r="OZD5" s="68"/>
      <c r="OZE5" s="68"/>
      <c r="OZF5" s="68"/>
      <c r="OZG5" s="68"/>
      <c r="OZH5" s="67"/>
      <c r="PBH5" s="67"/>
      <c r="PBI5" s="67"/>
      <c r="PBJ5" s="67"/>
      <c r="PBK5" s="39"/>
      <c r="PBL5" s="40"/>
      <c r="PBM5" s="39"/>
      <c r="PBN5" s="67"/>
      <c r="PBO5" s="67"/>
      <c r="PBP5" s="68"/>
      <c r="PBQ5" s="68"/>
      <c r="PBR5" s="68"/>
      <c r="PBS5" s="68"/>
      <c r="PBT5" s="91"/>
      <c r="PBU5" s="67"/>
      <c r="PBV5" s="76"/>
      <c r="PBW5" s="72"/>
      <c r="PBX5" s="72"/>
      <c r="PBY5" s="67"/>
      <c r="PBZ5" s="67"/>
      <c r="PCA5" s="68"/>
      <c r="PCB5" s="68"/>
      <c r="PCC5" s="68"/>
      <c r="PCD5" s="68"/>
      <c r="PCE5" s="67"/>
      <c r="PEE5" s="67"/>
      <c r="PEF5" s="67"/>
      <c r="PEG5" s="67"/>
      <c r="PEH5" s="39"/>
      <c r="PEI5" s="40"/>
      <c r="PEJ5" s="39"/>
      <c r="PEK5" s="67"/>
      <c r="PEL5" s="67"/>
      <c r="PEM5" s="68"/>
      <c r="PEN5" s="68"/>
      <c r="PEO5" s="68"/>
      <c r="PEP5" s="68"/>
      <c r="PEQ5" s="91"/>
      <c r="PER5" s="67"/>
      <c r="PES5" s="76"/>
      <c r="PET5" s="72"/>
      <c r="PEU5" s="72"/>
      <c r="PEV5" s="67"/>
      <c r="PEW5" s="67"/>
      <c r="PEX5" s="68"/>
      <c r="PEY5" s="68"/>
      <c r="PEZ5" s="68"/>
      <c r="PFA5" s="68"/>
      <c r="PFB5" s="67"/>
      <c r="PHB5" s="67"/>
      <c r="PHC5" s="67"/>
      <c r="PHD5" s="67"/>
      <c r="PHE5" s="39"/>
      <c r="PHF5" s="40"/>
      <c r="PHG5" s="39"/>
      <c r="PHH5" s="67"/>
      <c r="PHI5" s="67"/>
      <c r="PHJ5" s="68"/>
      <c r="PHK5" s="68"/>
      <c r="PHL5" s="68"/>
      <c r="PHM5" s="68"/>
      <c r="PHN5" s="91"/>
      <c r="PHO5" s="67"/>
      <c r="PHP5" s="76"/>
      <c r="PHQ5" s="72"/>
      <c r="PHR5" s="72"/>
      <c r="PHS5" s="67"/>
      <c r="PHT5" s="67"/>
      <c r="PHU5" s="68"/>
      <c r="PHV5" s="68"/>
      <c r="PHW5" s="68"/>
      <c r="PHX5" s="68"/>
      <c r="PHY5" s="67"/>
      <c r="PJY5" s="67"/>
      <c r="PJZ5" s="67"/>
      <c r="PKA5" s="67"/>
      <c r="PKB5" s="39"/>
      <c r="PKC5" s="40"/>
      <c r="PKD5" s="39"/>
      <c r="PKE5" s="67"/>
      <c r="PKF5" s="67"/>
      <c r="PKG5" s="68"/>
      <c r="PKH5" s="68"/>
      <c r="PKI5" s="68"/>
      <c r="PKJ5" s="68"/>
      <c r="PKK5" s="91"/>
      <c r="PKL5" s="67"/>
      <c r="PKM5" s="76"/>
      <c r="PKN5" s="72"/>
      <c r="PKO5" s="72"/>
      <c r="PKP5" s="67"/>
      <c r="PKQ5" s="67"/>
      <c r="PKR5" s="68"/>
      <c r="PKS5" s="68"/>
      <c r="PKT5" s="68"/>
      <c r="PKU5" s="68"/>
      <c r="PKV5" s="67"/>
      <c r="PMV5" s="67"/>
      <c r="PMW5" s="67"/>
      <c r="PMX5" s="67"/>
      <c r="PMY5" s="39"/>
      <c r="PMZ5" s="40"/>
      <c r="PNA5" s="39"/>
      <c r="PNB5" s="67"/>
      <c r="PNC5" s="67"/>
      <c r="PND5" s="68"/>
      <c r="PNE5" s="68"/>
      <c r="PNF5" s="68"/>
      <c r="PNG5" s="68"/>
      <c r="PNH5" s="91"/>
      <c r="PNI5" s="67"/>
      <c r="PNJ5" s="76"/>
      <c r="PNK5" s="72"/>
      <c r="PNL5" s="72"/>
      <c r="PNM5" s="67"/>
      <c r="PNN5" s="67"/>
      <c r="PNO5" s="68"/>
      <c r="PNP5" s="68"/>
      <c r="PNQ5" s="68"/>
      <c r="PNR5" s="68"/>
      <c r="PNS5" s="67"/>
      <c r="PPS5" s="67"/>
      <c r="PPT5" s="67"/>
      <c r="PPU5" s="67"/>
      <c r="PPV5" s="39"/>
      <c r="PPW5" s="40"/>
      <c r="PPX5" s="39"/>
      <c r="PPY5" s="67"/>
      <c r="PPZ5" s="67"/>
      <c r="PQA5" s="68"/>
      <c r="PQB5" s="68"/>
      <c r="PQC5" s="68"/>
      <c r="PQD5" s="68"/>
      <c r="PQE5" s="91"/>
      <c r="PQF5" s="67"/>
      <c r="PQG5" s="76"/>
      <c r="PQH5" s="72"/>
      <c r="PQI5" s="72"/>
      <c r="PQJ5" s="67"/>
      <c r="PQK5" s="67"/>
      <c r="PQL5" s="68"/>
      <c r="PQM5" s="68"/>
      <c r="PQN5" s="68"/>
      <c r="PQO5" s="68"/>
      <c r="PQP5" s="67"/>
      <c r="PSP5" s="67"/>
      <c r="PSQ5" s="67"/>
      <c r="PSR5" s="67"/>
      <c r="PSS5" s="39"/>
      <c r="PST5" s="40"/>
      <c r="PSU5" s="39"/>
      <c r="PSV5" s="67"/>
      <c r="PSW5" s="67"/>
      <c r="PSX5" s="68"/>
      <c r="PSY5" s="68"/>
      <c r="PSZ5" s="68"/>
      <c r="PTA5" s="68"/>
      <c r="PTB5" s="91"/>
      <c r="PTC5" s="67"/>
      <c r="PTD5" s="76"/>
      <c r="PTE5" s="72"/>
      <c r="PTF5" s="72"/>
      <c r="PTG5" s="67"/>
      <c r="PTH5" s="67"/>
      <c r="PTI5" s="68"/>
      <c r="PTJ5" s="68"/>
      <c r="PTK5" s="68"/>
      <c r="PTL5" s="68"/>
      <c r="PTM5" s="67"/>
      <c r="PVM5" s="67"/>
      <c r="PVN5" s="67"/>
      <c r="PVO5" s="67"/>
      <c r="PVP5" s="39"/>
      <c r="PVQ5" s="40"/>
      <c r="PVR5" s="39"/>
      <c r="PVS5" s="67"/>
      <c r="PVT5" s="67"/>
      <c r="PVU5" s="68"/>
      <c r="PVV5" s="68"/>
      <c r="PVW5" s="68"/>
      <c r="PVX5" s="68"/>
      <c r="PVY5" s="91"/>
      <c r="PVZ5" s="67"/>
      <c r="PWA5" s="76"/>
      <c r="PWB5" s="72"/>
      <c r="PWC5" s="72"/>
      <c r="PWD5" s="67"/>
      <c r="PWE5" s="67"/>
      <c r="PWF5" s="68"/>
      <c r="PWG5" s="68"/>
      <c r="PWH5" s="68"/>
      <c r="PWI5" s="68"/>
      <c r="PWJ5" s="67"/>
      <c r="PYJ5" s="67"/>
      <c r="PYK5" s="67"/>
      <c r="PYL5" s="67"/>
      <c r="PYM5" s="39"/>
      <c r="PYN5" s="40"/>
      <c r="PYO5" s="39"/>
      <c r="PYP5" s="67"/>
      <c r="PYQ5" s="67"/>
      <c r="PYR5" s="68"/>
      <c r="PYS5" s="68"/>
      <c r="PYT5" s="68"/>
      <c r="PYU5" s="68"/>
      <c r="PYV5" s="91"/>
      <c r="PYW5" s="67"/>
      <c r="PYX5" s="76"/>
      <c r="PYY5" s="72"/>
      <c r="PYZ5" s="72"/>
      <c r="PZA5" s="67"/>
      <c r="PZB5" s="67"/>
      <c r="PZC5" s="68"/>
      <c r="PZD5" s="68"/>
      <c r="PZE5" s="68"/>
      <c r="PZF5" s="68"/>
      <c r="PZG5" s="67"/>
      <c r="QBG5" s="67"/>
      <c r="QBH5" s="67"/>
      <c r="QBI5" s="67"/>
      <c r="QBJ5" s="39"/>
      <c r="QBK5" s="40"/>
      <c r="QBL5" s="39"/>
      <c r="QBM5" s="67"/>
      <c r="QBN5" s="67"/>
      <c r="QBO5" s="68"/>
      <c r="QBP5" s="68"/>
      <c r="QBQ5" s="68"/>
      <c r="QBR5" s="68"/>
      <c r="QBS5" s="91"/>
      <c r="QBT5" s="67"/>
      <c r="QBU5" s="76"/>
      <c r="QBV5" s="72"/>
      <c r="QBW5" s="72"/>
      <c r="QBX5" s="67"/>
      <c r="QBY5" s="67"/>
      <c r="QBZ5" s="68"/>
      <c r="QCA5" s="68"/>
      <c r="QCB5" s="68"/>
      <c r="QCC5" s="68"/>
      <c r="QCD5" s="67"/>
      <c r="QED5" s="67"/>
      <c r="QEE5" s="67"/>
      <c r="QEF5" s="67"/>
      <c r="QEG5" s="39"/>
      <c r="QEH5" s="40"/>
      <c r="QEI5" s="39"/>
      <c r="QEJ5" s="67"/>
      <c r="QEK5" s="67"/>
      <c r="QEL5" s="68"/>
      <c r="QEM5" s="68"/>
      <c r="QEN5" s="68"/>
      <c r="QEO5" s="68"/>
      <c r="QEP5" s="91"/>
      <c r="QEQ5" s="67"/>
      <c r="QER5" s="76"/>
      <c r="QES5" s="72"/>
      <c r="QET5" s="72"/>
      <c r="QEU5" s="67"/>
      <c r="QEV5" s="67"/>
      <c r="QEW5" s="68"/>
      <c r="QEX5" s="68"/>
      <c r="QEY5" s="68"/>
      <c r="QEZ5" s="68"/>
      <c r="QFA5" s="67"/>
      <c r="QHA5" s="67"/>
      <c r="QHB5" s="67"/>
      <c r="QHC5" s="67"/>
      <c r="QHD5" s="39"/>
      <c r="QHE5" s="40"/>
      <c r="QHF5" s="39"/>
      <c r="QHG5" s="67"/>
      <c r="QHH5" s="67"/>
      <c r="QHI5" s="68"/>
      <c r="QHJ5" s="68"/>
      <c r="QHK5" s="68"/>
      <c r="QHL5" s="68"/>
      <c r="QHM5" s="91"/>
      <c r="QHN5" s="67"/>
      <c r="QHO5" s="76"/>
      <c r="QHP5" s="72"/>
      <c r="QHQ5" s="72"/>
      <c r="QHR5" s="67"/>
      <c r="QHS5" s="67"/>
      <c r="QHT5" s="68"/>
      <c r="QHU5" s="68"/>
      <c r="QHV5" s="68"/>
      <c r="QHW5" s="68"/>
      <c r="QHX5" s="67"/>
      <c r="QJX5" s="67"/>
      <c r="QJY5" s="67"/>
      <c r="QJZ5" s="67"/>
      <c r="QKA5" s="39"/>
      <c r="QKB5" s="40"/>
      <c r="QKC5" s="39"/>
      <c r="QKD5" s="67"/>
      <c r="QKE5" s="67"/>
      <c r="QKF5" s="68"/>
      <c r="QKG5" s="68"/>
      <c r="QKH5" s="68"/>
      <c r="QKI5" s="68"/>
      <c r="QKJ5" s="91"/>
      <c r="QKK5" s="67"/>
      <c r="QKL5" s="76"/>
      <c r="QKM5" s="72"/>
      <c r="QKN5" s="72"/>
      <c r="QKO5" s="67"/>
      <c r="QKP5" s="67"/>
      <c r="QKQ5" s="68"/>
      <c r="QKR5" s="68"/>
      <c r="QKS5" s="68"/>
      <c r="QKT5" s="68"/>
      <c r="QKU5" s="67"/>
      <c r="QMU5" s="67"/>
      <c r="QMV5" s="67"/>
      <c r="QMW5" s="67"/>
      <c r="QMX5" s="39"/>
      <c r="QMY5" s="40"/>
      <c r="QMZ5" s="39"/>
      <c r="QNA5" s="67"/>
      <c r="QNB5" s="67"/>
      <c r="QNC5" s="68"/>
      <c r="QND5" s="68"/>
      <c r="QNE5" s="68"/>
      <c r="QNF5" s="68"/>
      <c r="QNG5" s="91"/>
      <c r="QNH5" s="67"/>
      <c r="QNI5" s="76"/>
      <c r="QNJ5" s="72"/>
      <c r="QNK5" s="72"/>
      <c r="QNL5" s="67"/>
      <c r="QNM5" s="67"/>
      <c r="QNN5" s="68"/>
      <c r="QNO5" s="68"/>
      <c r="QNP5" s="68"/>
      <c r="QNQ5" s="68"/>
      <c r="QNR5" s="67"/>
      <c r="QPR5" s="67"/>
      <c r="QPS5" s="67"/>
      <c r="QPT5" s="67"/>
      <c r="QPU5" s="39"/>
      <c r="QPV5" s="40"/>
      <c r="QPW5" s="39"/>
      <c r="QPX5" s="67"/>
      <c r="QPY5" s="67"/>
      <c r="QPZ5" s="68"/>
      <c r="QQA5" s="68"/>
      <c r="QQB5" s="68"/>
      <c r="QQC5" s="68"/>
      <c r="QQD5" s="91"/>
      <c r="QQE5" s="67"/>
      <c r="QQF5" s="76"/>
      <c r="QQG5" s="72"/>
      <c r="QQH5" s="72"/>
      <c r="QQI5" s="67"/>
      <c r="QQJ5" s="67"/>
      <c r="QQK5" s="68"/>
      <c r="QQL5" s="68"/>
      <c r="QQM5" s="68"/>
      <c r="QQN5" s="68"/>
      <c r="QQO5" s="67"/>
      <c r="QSO5" s="67"/>
      <c r="QSP5" s="67"/>
      <c r="QSQ5" s="67"/>
      <c r="QSR5" s="39"/>
      <c r="QSS5" s="40"/>
      <c r="QST5" s="39"/>
      <c r="QSU5" s="67"/>
      <c r="QSV5" s="67"/>
      <c r="QSW5" s="68"/>
      <c r="QSX5" s="68"/>
      <c r="QSY5" s="68"/>
      <c r="QSZ5" s="68"/>
      <c r="QTA5" s="91"/>
      <c r="QTB5" s="67"/>
      <c r="QTC5" s="76"/>
      <c r="QTD5" s="72"/>
      <c r="QTE5" s="72"/>
      <c r="QTF5" s="67"/>
      <c r="QTG5" s="67"/>
      <c r="QTH5" s="68"/>
      <c r="QTI5" s="68"/>
      <c r="QTJ5" s="68"/>
      <c r="QTK5" s="68"/>
      <c r="QTL5" s="67"/>
      <c r="QVL5" s="67"/>
      <c r="QVM5" s="67"/>
      <c r="QVN5" s="67"/>
      <c r="QVO5" s="39"/>
      <c r="QVP5" s="40"/>
      <c r="QVQ5" s="39"/>
      <c r="QVR5" s="67"/>
      <c r="QVS5" s="67"/>
      <c r="QVT5" s="68"/>
      <c r="QVU5" s="68"/>
      <c r="QVV5" s="68"/>
      <c r="QVW5" s="68"/>
      <c r="QVX5" s="91"/>
      <c r="QVY5" s="67"/>
      <c r="QVZ5" s="76"/>
      <c r="QWA5" s="72"/>
      <c r="QWB5" s="72"/>
      <c r="QWC5" s="67"/>
      <c r="QWD5" s="67"/>
      <c r="QWE5" s="68"/>
      <c r="QWF5" s="68"/>
      <c r="QWG5" s="68"/>
      <c r="QWH5" s="68"/>
      <c r="QWI5" s="67"/>
      <c r="QYI5" s="67"/>
      <c r="QYJ5" s="67"/>
      <c r="QYK5" s="67"/>
      <c r="QYL5" s="39"/>
      <c r="QYM5" s="40"/>
      <c r="QYN5" s="39"/>
      <c r="QYO5" s="67"/>
      <c r="QYP5" s="67"/>
      <c r="QYQ5" s="68"/>
      <c r="QYR5" s="68"/>
      <c r="QYS5" s="68"/>
      <c r="QYT5" s="68"/>
      <c r="QYU5" s="91"/>
      <c r="QYV5" s="67"/>
      <c r="QYW5" s="76"/>
      <c r="QYX5" s="72"/>
      <c r="QYY5" s="72"/>
      <c r="QYZ5" s="67"/>
      <c r="QZA5" s="67"/>
      <c r="QZB5" s="68"/>
      <c r="QZC5" s="68"/>
      <c r="QZD5" s="68"/>
      <c r="QZE5" s="68"/>
      <c r="QZF5" s="67"/>
      <c r="RBF5" s="67"/>
      <c r="RBG5" s="67"/>
      <c r="RBH5" s="67"/>
      <c r="RBI5" s="39"/>
      <c r="RBJ5" s="40"/>
      <c r="RBK5" s="39"/>
      <c r="RBL5" s="67"/>
      <c r="RBM5" s="67"/>
      <c r="RBN5" s="68"/>
      <c r="RBO5" s="68"/>
      <c r="RBP5" s="68"/>
      <c r="RBQ5" s="68"/>
      <c r="RBR5" s="91"/>
      <c r="RBS5" s="67"/>
      <c r="RBT5" s="76"/>
      <c r="RBU5" s="72"/>
      <c r="RBV5" s="72"/>
      <c r="RBW5" s="67"/>
      <c r="RBX5" s="67"/>
      <c r="RBY5" s="68"/>
      <c r="RBZ5" s="68"/>
      <c r="RCA5" s="68"/>
      <c r="RCB5" s="68"/>
      <c r="RCC5" s="67"/>
      <c r="REC5" s="67"/>
      <c r="RED5" s="67"/>
      <c r="REE5" s="67"/>
      <c r="REF5" s="39"/>
      <c r="REG5" s="40"/>
      <c r="REH5" s="39"/>
      <c r="REI5" s="67"/>
      <c r="REJ5" s="67"/>
      <c r="REK5" s="68"/>
      <c r="REL5" s="68"/>
      <c r="REM5" s="68"/>
      <c r="REN5" s="68"/>
      <c r="REO5" s="91"/>
      <c r="REP5" s="67"/>
      <c r="REQ5" s="76"/>
      <c r="RER5" s="72"/>
      <c r="RES5" s="72"/>
      <c r="RET5" s="67"/>
      <c r="REU5" s="67"/>
      <c r="REV5" s="68"/>
      <c r="REW5" s="68"/>
      <c r="REX5" s="68"/>
      <c r="REY5" s="68"/>
      <c r="REZ5" s="67"/>
      <c r="RGZ5" s="67"/>
      <c r="RHA5" s="67"/>
      <c r="RHB5" s="67"/>
      <c r="RHC5" s="39"/>
      <c r="RHD5" s="40"/>
      <c r="RHE5" s="39"/>
      <c r="RHF5" s="67"/>
      <c r="RHG5" s="67"/>
      <c r="RHH5" s="68"/>
      <c r="RHI5" s="68"/>
      <c r="RHJ5" s="68"/>
      <c r="RHK5" s="68"/>
      <c r="RHL5" s="91"/>
      <c r="RHM5" s="67"/>
      <c r="RHN5" s="76"/>
      <c r="RHO5" s="72"/>
      <c r="RHP5" s="72"/>
      <c r="RHQ5" s="67"/>
      <c r="RHR5" s="67"/>
      <c r="RHS5" s="68"/>
      <c r="RHT5" s="68"/>
      <c r="RHU5" s="68"/>
      <c r="RHV5" s="68"/>
      <c r="RHW5" s="67"/>
      <c r="RJW5" s="67"/>
      <c r="RJX5" s="67"/>
      <c r="RJY5" s="67"/>
      <c r="RJZ5" s="39"/>
      <c r="RKA5" s="40"/>
      <c r="RKB5" s="39"/>
      <c r="RKC5" s="67"/>
      <c r="RKD5" s="67"/>
      <c r="RKE5" s="68"/>
      <c r="RKF5" s="68"/>
      <c r="RKG5" s="68"/>
      <c r="RKH5" s="68"/>
      <c r="RKI5" s="91"/>
      <c r="RKJ5" s="67"/>
      <c r="RKK5" s="76"/>
      <c r="RKL5" s="72"/>
      <c r="RKM5" s="72"/>
      <c r="RKN5" s="67"/>
      <c r="RKO5" s="67"/>
      <c r="RKP5" s="68"/>
      <c r="RKQ5" s="68"/>
      <c r="RKR5" s="68"/>
      <c r="RKS5" s="68"/>
      <c r="RKT5" s="67"/>
      <c r="RMT5" s="67"/>
      <c r="RMU5" s="67"/>
      <c r="RMV5" s="67"/>
      <c r="RMW5" s="39"/>
      <c r="RMX5" s="40"/>
      <c r="RMY5" s="39"/>
      <c r="RMZ5" s="67"/>
      <c r="RNA5" s="67"/>
      <c r="RNB5" s="68"/>
      <c r="RNC5" s="68"/>
      <c r="RND5" s="68"/>
      <c r="RNE5" s="68"/>
      <c r="RNF5" s="91"/>
      <c r="RNG5" s="67"/>
      <c r="RNH5" s="76"/>
      <c r="RNI5" s="72"/>
      <c r="RNJ5" s="72"/>
      <c r="RNK5" s="67"/>
      <c r="RNL5" s="67"/>
      <c r="RNM5" s="68"/>
      <c r="RNN5" s="68"/>
      <c r="RNO5" s="68"/>
      <c r="RNP5" s="68"/>
      <c r="RNQ5" s="67"/>
      <c r="RPQ5" s="67"/>
      <c r="RPR5" s="67"/>
      <c r="RPS5" s="67"/>
      <c r="RPT5" s="39"/>
      <c r="RPU5" s="40"/>
      <c r="RPV5" s="39"/>
      <c r="RPW5" s="67"/>
      <c r="RPX5" s="67"/>
      <c r="RPY5" s="68"/>
      <c r="RPZ5" s="68"/>
      <c r="RQA5" s="68"/>
      <c r="RQB5" s="68"/>
      <c r="RQC5" s="91"/>
      <c r="RQD5" s="67"/>
      <c r="RQE5" s="76"/>
      <c r="RQF5" s="72"/>
      <c r="RQG5" s="72"/>
      <c r="RQH5" s="67"/>
      <c r="RQI5" s="67"/>
      <c r="RQJ5" s="68"/>
      <c r="RQK5" s="68"/>
      <c r="RQL5" s="68"/>
      <c r="RQM5" s="68"/>
      <c r="RQN5" s="67"/>
      <c r="RSN5" s="67"/>
      <c r="RSO5" s="67"/>
      <c r="RSP5" s="67"/>
      <c r="RSQ5" s="39"/>
      <c r="RSR5" s="40"/>
      <c r="RSS5" s="39"/>
      <c r="RST5" s="67"/>
      <c r="RSU5" s="67"/>
      <c r="RSV5" s="68"/>
      <c r="RSW5" s="68"/>
      <c r="RSX5" s="68"/>
      <c r="RSY5" s="68"/>
      <c r="RSZ5" s="91"/>
      <c r="RTA5" s="67"/>
      <c r="RTB5" s="76"/>
      <c r="RTC5" s="72"/>
      <c r="RTD5" s="72"/>
      <c r="RTE5" s="67"/>
      <c r="RTF5" s="67"/>
      <c r="RTG5" s="68"/>
      <c r="RTH5" s="68"/>
      <c r="RTI5" s="68"/>
      <c r="RTJ5" s="68"/>
      <c r="RTK5" s="67"/>
      <c r="RVK5" s="67"/>
      <c r="RVL5" s="67"/>
      <c r="RVM5" s="67"/>
      <c r="RVN5" s="39"/>
      <c r="RVO5" s="40"/>
      <c r="RVP5" s="39"/>
      <c r="RVQ5" s="67"/>
      <c r="RVR5" s="67"/>
      <c r="RVS5" s="68"/>
      <c r="RVT5" s="68"/>
      <c r="RVU5" s="68"/>
      <c r="RVV5" s="68"/>
      <c r="RVW5" s="91"/>
      <c r="RVX5" s="67"/>
      <c r="RVY5" s="76"/>
      <c r="RVZ5" s="72"/>
      <c r="RWA5" s="72"/>
      <c r="RWB5" s="67"/>
      <c r="RWC5" s="67"/>
      <c r="RWD5" s="68"/>
      <c r="RWE5" s="68"/>
      <c r="RWF5" s="68"/>
      <c r="RWG5" s="68"/>
      <c r="RWH5" s="67"/>
      <c r="RYH5" s="67"/>
      <c r="RYI5" s="67"/>
      <c r="RYJ5" s="67"/>
      <c r="RYK5" s="39"/>
      <c r="RYL5" s="40"/>
      <c r="RYM5" s="39"/>
      <c r="RYN5" s="67"/>
      <c r="RYO5" s="67"/>
      <c r="RYP5" s="68"/>
      <c r="RYQ5" s="68"/>
      <c r="RYR5" s="68"/>
      <c r="RYS5" s="68"/>
      <c r="RYT5" s="91"/>
      <c r="RYU5" s="67"/>
      <c r="RYV5" s="76"/>
      <c r="RYW5" s="72"/>
      <c r="RYX5" s="72"/>
      <c r="RYY5" s="67"/>
      <c r="RYZ5" s="67"/>
      <c r="RZA5" s="68"/>
      <c r="RZB5" s="68"/>
      <c r="RZC5" s="68"/>
      <c r="RZD5" s="68"/>
      <c r="RZE5" s="67"/>
      <c r="SBE5" s="67"/>
      <c r="SBF5" s="67"/>
      <c r="SBG5" s="67"/>
      <c r="SBH5" s="39"/>
      <c r="SBI5" s="40"/>
      <c r="SBJ5" s="39"/>
      <c r="SBK5" s="67"/>
      <c r="SBL5" s="67"/>
      <c r="SBM5" s="68"/>
      <c r="SBN5" s="68"/>
      <c r="SBO5" s="68"/>
      <c r="SBP5" s="68"/>
      <c r="SBQ5" s="91"/>
      <c r="SBR5" s="67"/>
      <c r="SBS5" s="76"/>
      <c r="SBT5" s="72"/>
      <c r="SBU5" s="72"/>
      <c r="SBV5" s="67"/>
      <c r="SBW5" s="67"/>
      <c r="SBX5" s="68"/>
      <c r="SBY5" s="68"/>
      <c r="SBZ5" s="68"/>
      <c r="SCA5" s="68"/>
      <c r="SCB5" s="67"/>
      <c r="SEB5" s="67"/>
      <c r="SEC5" s="67"/>
      <c r="SED5" s="67"/>
      <c r="SEE5" s="39"/>
      <c r="SEF5" s="40"/>
      <c r="SEG5" s="39"/>
      <c r="SEH5" s="67"/>
      <c r="SEI5" s="67"/>
      <c r="SEJ5" s="68"/>
      <c r="SEK5" s="68"/>
      <c r="SEL5" s="68"/>
      <c r="SEM5" s="68"/>
      <c r="SEN5" s="91"/>
      <c r="SEO5" s="67"/>
      <c r="SEP5" s="76"/>
      <c r="SEQ5" s="72"/>
      <c r="SER5" s="72"/>
      <c r="SES5" s="67"/>
      <c r="SET5" s="67"/>
      <c r="SEU5" s="68"/>
      <c r="SEV5" s="68"/>
      <c r="SEW5" s="68"/>
      <c r="SEX5" s="68"/>
      <c r="SEY5" s="67"/>
      <c r="SGY5" s="67"/>
      <c r="SGZ5" s="67"/>
      <c r="SHA5" s="67"/>
      <c r="SHB5" s="39"/>
      <c r="SHC5" s="40"/>
      <c r="SHD5" s="39"/>
      <c r="SHE5" s="67"/>
      <c r="SHF5" s="67"/>
      <c r="SHG5" s="68"/>
      <c r="SHH5" s="68"/>
      <c r="SHI5" s="68"/>
      <c r="SHJ5" s="68"/>
      <c r="SHK5" s="91"/>
      <c r="SHL5" s="67"/>
      <c r="SHM5" s="76"/>
      <c r="SHN5" s="72"/>
      <c r="SHO5" s="72"/>
      <c r="SHP5" s="67"/>
      <c r="SHQ5" s="67"/>
      <c r="SHR5" s="68"/>
      <c r="SHS5" s="68"/>
      <c r="SHT5" s="68"/>
      <c r="SHU5" s="68"/>
      <c r="SHV5" s="67"/>
      <c r="SJV5" s="67"/>
      <c r="SJW5" s="67"/>
      <c r="SJX5" s="67"/>
      <c r="SJY5" s="39"/>
      <c r="SJZ5" s="40"/>
      <c r="SKA5" s="39"/>
      <c r="SKB5" s="67"/>
      <c r="SKC5" s="67"/>
      <c r="SKD5" s="68"/>
      <c r="SKE5" s="68"/>
      <c r="SKF5" s="68"/>
      <c r="SKG5" s="68"/>
      <c r="SKH5" s="91"/>
      <c r="SKI5" s="67"/>
      <c r="SKJ5" s="76"/>
      <c r="SKK5" s="72"/>
      <c r="SKL5" s="72"/>
      <c r="SKM5" s="67"/>
      <c r="SKN5" s="67"/>
      <c r="SKO5" s="68"/>
      <c r="SKP5" s="68"/>
      <c r="SKQ5" s="68"/>
      <c r="SKR5" s="68"/>
      <c r="SKS5" s="67"/>
      <c r="SMS5" s="67"/>
      <c r="SMT5" s="67"/>
      <c r="SMU5" s="67"/>
      <c r="SMV5" s="39"/>
      <c r="SMW5" s="40"/>
      <c r="SMX5" s="39"/>
      <c r="SMY5" s="67"/>
      <c r="SMZ5" s="67"/>
      <c r="SNA5" s="68"/>
      <c r="SNB5" s="68"/>
      <c r="SNC5" s="68"/>
      <c r="SND5" s="68"/>
      <c r="SNE5" s="91"/>
      <c r="SNF5" s="67"/>
      <c r="SNG5" s="76"/>
      <c r="SNH5" s="72"/>
      <c r="SNI5" s="72"/>
      <c r="SNJ5" s="67"/>
      <c r="SNK5" s="67"/>
      <c r="SNL5" s="68"/>
      <c r="SNM5" s="68"/>
      <c r="SNN5" s="68"/>
      <c r="SNO5" s="68"/>
      <c r="SNP5" s="67"/>
      <c r="SPP5" s="67"/>
      <c r="SPQ5" s="67"/>
      <c r="SPR5" s="67"/>
      <c r="SPS5" s="39"/>
      <c r="SPT5" s="40"/>
      <c r="SPU5" s="39"/>
      <c r="SPV5" s="67"/>
      <c r="SPW5" s="67"/>
      <c r="SPX5" s="68"/>
      <c r="SPY5" s="68"/>
      <c r="SPZ5" s="68"/>
      <c r="SQA5" s="68"/>
      <c r="SQB5" s="91"/>
      <c r="SQC5" s="67"/>
      <c r="SQD5" s="76"/>
      <c r="SQE5" s="72"/>
      <c r="SQF5" s="72"/>
      <c r="SQG5" s="67"/>
      <c r="SQH5" s="67"/>
      <c r="SQI5" s="68"/>
      <c r="SQJ5" s="68"/>
      <c r="SQK5" s="68"/>
      <c r="SQL5" s="68"/>
      <c r="SQM5" s="67"/>
      <c r="SSM5" s="67"/>
      <c r="SSN5" s="67"/>
      <c r="SSO5" s="67"/>
      <c r="SSP5" s="39"/>
      <c r="SSQ5" s="40"/>
      <c r="SSR5" s="39"/>
      <c r="SSS5" s="67"/>
      <c r="SST5" s="67"/>
      <c r="SSU5" s="68"/>
      <c r="SSV5" s="68"/>
      <c r="SSW5" s="68"/>
      <c r="SSX5" s="68"/>
      <c r="SSY5" s="91"/>
      <c r="SSZ5" s="67"/>
      <c r="STA5" s="76"/>
      <c r="STB5" s="72"/>
      <c r="STC5" s="72"/>
      <c r="STD5" s="67"/>
      <c r="STE5" s="67"/>
      <c r="STF5" s="68"/>
      <c r="STG5" s="68"/>
      <c r="STH5" s="68"/>
      <c r="STI5" s="68"/>
      <c r="STJ5" s="67"/>
      <c r="SVJ5" s="67"/>
      <c r="SVK5" s="67"/>
      <c r="SVL5" s="67"/>
      <c r="SVM5" s="39"/>
      <c r="SVN5" s="40"/>
      <c r="SVO5" s="39"/>
      <c r="SVP5" s="67"/>
      <c r="SVQ5" s="67"/>
      <c r="SVR5" s="68"/>
      <c r="SVS5" s="68"/>
      <c r="SVT5" s="68"/>
      <c r="SVU5" s="68"/>
      <c r="SVV5" s="91"/>
      <c r="SVW5" s="67"/>
      <c r="SVX5" s="76"/>
      <c r="SVY5" s="72"/>
      <c r="SVZ5" s="72"/>
      <c r="SWA5" s="67"/>
      <c r="SWB5" s="67"/>
      <c r="SWC5" s="68"/>
      <c r="SWD5" s="68"/>
      <c r="SWE5" s="68"/>
      <c r="SWF5" s="68"/>
      <c r="SWG5" s="67"/>
      <c r="SYG5" s="67"/>
      <c r="SYH5" s="67"/>
      <c r="SYI5" s="67"/>
      <c r="SYJ5" s="39"/>
      <c r="SYK5" s="40"/>
      <c r="SYL5" s="39"/>
      <c r="SYM5" s="67"/>
      <c r="SYN5" s="67"/>
      <c r="SYO5" s="68"/>
      <c r="SYP5" s="68"/>
      <c r="SYQ5" s="68"/>
      <c r="SYR5" s="68"/>
      <c r="SYS5" s="91"/>
      <c r="SYT5" s="67"/>
      <c r="SYU5" s="76"/>
      <c r="SYV5" s="72"/>
      <c r="SYW5" s="72"/>
      <c r="SYX5" s="67"/>
      <c r="SYY5" s="67"/>
      <c r="SYZ5" s="68"/>
      <c r="SZA5" s="68"/>
      <c r="SZB5" s="68"/>
      <c r="SZC5" s="68"/>
      <c r="SZD5" s="67"/>
      <c r="TBD5" s="67"/>
      <c r="TBE5" s="67"/>
      <c r="TBF5" s="67"/>
      <c r="TBG5" s="39"/>
      <c r="TBH5" s="40"/>
      <c r="TBI5" s="39"/>
      <c r="TBJ5" s="67"/>
      <c r="TBK5" s="67"/>
      <c r="TBL5" s="68"/>
      <c r="TBM5" s="68"/>
      <c r="TBN5" s="68"/>
      <c r="TBO5" s="68"/>
      <c r="TBP5" s="91"/>
      <c r="TBQ5" s="67"/>
      <c r="TBR5" s="76"/>
      <c r="TBS5" s="72"/>
      <c r="TBT5" s="72"/>
      <c r="TBU5" s="67"/>
      <c r="TBV5" s="67"/>
      <c r="TBW5" s="68"/>
      <c r="TBX5" s="68"/>
      <c r="TBY5" s="68"/>
      <c r="TBZ5" s="68"/>
      <c r="TCA5" s="67"/>
      <c r="TEA5" s="67"/>
      <c r="TEB5" s="67"/>
      <c r="TEC5" s="67"/>
      <c r="TED5" s="39"/>
      <c r="TEE5" s="40"/>
      <c r="TEF5" s="39"/>
      <c r="TEG5" s="67"/>
      <c r="TEH5" s="67"/>
      <c r="TEI5" s="68"/>
      <c r="TEJ5" s="68"/>
      <c r="TEK5" s="68"/>
      <c r="TEL5" s="68"/>
      <c r="TEM5" s="91"/>
      <c r="TEN5" s="67"/>
      <c r="TEO5" s="76"/>
      <c r="TEP5" s="72"/>
      <c r="TEQ5" s="72"/>
      <c r="TER5" s="67"/>
      <c r="TES5" s="67"/>
      <c r="TET5" s="68"/>
      <c r="TEU5" s="68"/>
      <c r="TEV5" s="68"/>
      <c r="TEW5" s="68"/>
      <c r="TEX5" s="67"/>
      <c r="TGX5" s="67"/>
      <c r="TGY5" s="67"/>
      <c r="TGZ5" s="67"/>
      <c r="THA5" s="39"/>
      <c r="THB5" s="40"/>
      <c r="THC5" s="39"/>
      <c r="THD5" s="67"/>
      <c r="THE5" s="67"/>
      <c r="THF5" s="68"/>
      <c r="THG5" s="68"/>
      <c r="THH5" s="68"/>
      <c r="THI5" s="68"/>
      <c r="THJ5" s="91"/>
      <c r="THK5" s="67"/>
      <c r="THL5" s="76"/>
      <c r="THM5" s="72"/>
      <c r="THN5" s="72"/>
      <c r="THO5" s="67"/>
      <c r="THP5" s="67"/>
      <c r="THQ5" s="68"/>
      <c r="THR5" s="68"/>
      <c r="THS5" s="68"/>
      <c r="THT5" s="68"/>
      <c r="THU5" s="67"/>
      <c r="TJU5" s="67"/>
      <c r="TJV5" s="67"/>
      <c r="TJW5" s="67"/>
      <c r="TJX5" s="39"/>
      <c r="TJY5" s="40"/>
      <c r="TJZ5" s="39"/>
      <c r="TKA5" s="67"/>
      <c r="TKB5" s="67"/>
      <c r="TKC5" s="68"/>
      <c r="TKD5" s="68"/>
      <c r="TKE5" s="68"/>
      <c r="TKF5" s="68"/>
      <c r="TKG5" s="91"/>
      <c r="TKH5" s="67"/>
      <c r="TKI5" s="76"/>
      <c r="TKJ5" s="72"/>
      <c r="TKK5" s="72"/>
      <c r="TKL5" s="67"/>
      <c r="TKM5" s="67"/>
      <c r="TKN5" s="68"/>
      <c r="TKO5" s="68"/>
      <c r="TKP5" s="68"/>
      <c r="TKQ5" s="68"/>
      <c r="TKR5" s="67"/>
      <c r="TMR5" s="67"/>
      <c r="TMS5" s="67"/>
      <c r="TMT5" s="67"/>
      <c r="TMU5" s="39"/>
      <c r="TMV5" s="40"/>
      <c r="TMW5" s="39"/>
      <c r="TMX5" s="67"/>
      <c r="TMY5" s="67"/>
      <c r="TMZ5" s="68"/>
      <c r="TNA5" s="68"/>
      <c r="TNB5" s="68"/>
      <c r="TNC5" s="68"/>
      <c r="TND5" s="91"/>
      <c r="TNE5" s="67"/>
      <c r="TNF5" s="76"/>
      <c r="TNG5" s="72"/>
      <c r="TNH5" s="72"/>
      <c r="TNI5" s="67"/>
      <c r="TNJ5" s="67"/>
      <c r="TNK5" s="68"/>
      <c r="TNL5" s="68"/>
      <c r="TNM5" s="68"/>
      <c r="TNN5" s="68"/>
      <c r="TNO5" s="67"/>
      <c r="TPO5" s="67"/>
      <c r="TPP5" s="67"/>
      <c r="TPQ5" s="67"/>
      <c r="TPR5" s="39"/>
      <c r="TPS5" s="40"/>
      <c r="TPT5" s="39"/>
      <c r="TPU5" s="67"/>
      <c r="TPV5" s="67"/>
      <c r="TPW5" s="68"/>
      <c r="TPX5" s="68"/>
      <c r="TPY5" s="68"/>
      <c r="TPZ5" s="68"/>
      <c r="TQA5" s="91"/>
      <c r="TQB5" s="67"/>
      <c r="TQC5" s="76"/>
      <c r="TQD5" s="72"/>
      <c r="TQE5" s="72"/>
      <c r="TQF5" s="67"/>
      <c r="TQG5" s="67"/>
      <c r="TQH5" s="68"/>
      <c r="TQI5" s="68"/>
      <c r="TQJ5" s="68"/>
      <c r="TQK5" s="68"/>
      <c r="TQL5" s="67"/>
      <c r="TSL5" s="67"/>
      <c r="TSM5" s="67"/>
      <c r="TSN5" s="67"/>
      <c r="TSO5" s="39"/>
      <c r="TSP5" s="40"/>
      <c r="TSQ5" s="39"/>
      <c r="TSR5" s="67"/>
      <c r="TSS5" s="67"/>
      <c r="TST5" s="68"/>
      <c r="TSU5" s="68"/>
      <c r="TSV5" s="68"/>
      <c r="TSW5" s="68"/>
      <c r="TSX5" s="91"/>
      <c r="TSY5" s="67"/>
      <c r="TSZ5" s="76"/>
      <c r="TTA5" s="72"/>
      <c r="TTB5" s="72"/>
      <c r="TTC5" s="67"/>
      <c r="TTD5" s="67"/>
      <c r="TTE5" s="68"/>
      <c r="TTF5" s="68"/>
      <c r="TTG5" s="68"/>
      <c r="TTH5" s="68"/>
      <c r="TTI5" s="67"/>
      <c r="TVI5" s="67"/>
      <c r="TVJ5" s="67"/>
      <c r="TVK5" s="67"/>
      <c r="TVL5" s="39"/>
      <c r="TVM5" s="40"/>
      <c r="TVN5" s="39"/>
      <c r="TVO5" s="67"/>
      <c r="TVP5" s="67"/>
      <c r="TVQ5" s="68"/>
      <c r="TVR5" s="68"/>
      <c r="TVS5" s="68"/>
      <c r="TVT5" s="68"/>
      <c r="TVU5" s="91"/>
      <c r="TVV5" s="67"/>
      <c r="TVW5" s="76"/>
      <c r="TVX5" s="72"/>
      <c r="TVY5" s="72"/>
      <c r="TVZ5" s="67"/>
      <c r="TWA5" s="67"/>
      <c r="TWB5" s="68"/>
      <c r="TWC5" s="68"/>
      <c r="TWD5" s="68"/>
      <c r="TWE5" s="68"/>
      <c r="TWF5" s="67"/>
      <c r="TYF5" s="67"/>
      <c r="TYG5" s="67"/>
      <c r="TYH5" s="67"/>
      <c r="TYI5" s="39"/>
      <c r="TYJ5" s="40"/>
      <c r="TYK5" s="39"/>
      <c r="TYL5" s="67"/>
      <c r="TYM5" s="67"/>
      <c r="TYN5" s="68"/>
      <c r="TYO5" s="68"/>
      <c r="TYP5" s="68"/>
      <c r="TYQ5" s="68"/>
      <c r="TYR5" s="91"/>
      <c r="TYS5" s="67"/>
      <c r="TYT5" s="76"/>
      <c r="TYU5" s="72"/>
      <c r="TYV5" s="72"/>
      <c r="TYW5" s="67"/>
      <c r="TYX5" s="67"/>
      <c r="TYY5" s="68"/>
      <c r="TYZ5" s="68"/>
      <c r="TZA5" s="68"/>
      <c r="TZB5" s="68"/>
      <c r="TZC5" s="67"/>
      <c r="UBC5" s="67"/>
      <c r="UBD5" s="67"/>
      <c r="UBE5" s="67"/>
      <c r="UBF5" s="39"/>
      <c r="UBG5" s="40"/>
      <c r="UBH5" s="39"/>
      <c r="UBI5" s="67"/>
      <c r="UBJ5" s="67"/>
      <c r="UBK5" s="68"/>
      <c r="UBL5" s="68"/>
      <c r="UBM5" s="68"/>
      <c r="UBN5" s="68"/>
      <c r="UBO5" s="91"/>
      <c r="UBP5" s="67"/>
      <c r="UBQ5" s="76"/>
      <c r="UBR5" s="72"/>
      <c r="UBS5" s="72"/>
      <c r="UBT5" s="67"/>
      <c r="UBU5" s="67"/>
      <c r="UBV5" s="68"/>
      <c r="UBW5" s="68"/>
      <c r="UBX5" s="68"/>
      <c r="UBY5" s="68"/>
      <c r="UBZ5" s="67"/>
      <c r="UDZ5" s="67"/>
      <c r="UEA5" s="67"/>
      <c r="UEB5" s="67"/>
      <c r="UEC5" s="39"/>
      <c r="UED5" s="40"/>
      <c r="UEE5" s="39"/>
      <c r="UEF5" s="67"/>
      <c r="UEG5" s="67"/>
      <c r="UEH5" s="68"/>
      <c r="UEI5" s="68"/>
      <c r="UEJ5" s="68"/>
      <c r="UEK5" s="68"/>
      <c r="UEL5" s="91"/>
      <c r="UEM5" s="67"/>
      <c r="UEN5" s="76"/>
      <c r="UEO5" s="72"/>
      <c r="UEP5" s="72"/>
      <c r="UEQ5" s="67"/>
      <c r="UER5" s="67"/>
      <c r="UES5" s="68"/>
      <c r="UET5" s="68"/>
      <c r="UEU5" s="68"/>
      <c r="UEV5" s="68"/>
      <c r="UEW5" s="67"/>
      <c r="UGW5" s="67"/>
      <c r="UGX5" s="67"/>
      <c r="UGY5" s="67"/>
      <c r="UGZ5" s="39"/>
      <c r="UHA5" s="40"/>
      <c r="UHB5" s="39"/>
      <c r="UHC5" s="67"/>
      <c r="UHD5" s="67"/>
      <c r="UHE5" s="68"/>
      <c r="UHF5" s="68"/>
      <c r="UHG5" s="68"/>
      <c r="UHH5" s="68"/>
      <c r="UHI5" s="91"/>
      <c r="UHJ5" s="67"/>
      <c r="UHK5" s="76"/>
      <c r="UHL5" s="72"/>
      <c r="UHM5" s="72"/>
      <c r="UHN5" s="67"/>
      <c r="UHO5" s="67"/>
      <c r="UHP5" s="68"/>
      <c r="UHQ5" s="68"/>
      <c r="UHR5" s="68"/>
      <c r="UHS5" s="68"/>
      <c r="UHT5" s="67"/>
      <c r="UJT5" s="67"/>
      <c r="UJU5" s="67"/>
      <c r="UJV5" s="67"/>
      <c r="UJW5" s="39"/>
      <c r="UJX5" s="40"/>
      <c r="UJY5" s="39"/>
      <c r="UJZ5" s="67"/>
      <c r="UKA5" s="67"/>
      <c r="UKB5" s="68"/>
      <c r="UKC5" s="68"/>
      <c r="UKD5" s="68"/>
      <c r="UKE5" s="68"/>
      <c r="UKF5" s="91"/>
      <c r="UKG5" s="67"/>
      <c r="UKH5" s="76"/>
      <c r="UKI5" s="72"/>
      <c r="UKJ5" s="72"/>
      <c r="UKK5" s="67"/>
      <c r="UKL5" s="67"/>
      <c r="UKM5" s="68"/>
      <c r="UKN5" s="68"/>
      <c r="UKO5" s="68"/>
      <c r="UKP5" s="68"/>
      <c r="UKQ5" s="67"/>
      <c r="UMQ5" s="67"/>
      <c r="UMR5" s="67"/>
      <c r="UMS5" s="67"/>
      <c r="UMT5" s="39"/>
      <c r="UMU5" s="40"/>
      <c r="UMV5" s="39"/>
      <c r="UMW5" s="67"/>
      <c r="UMX5" s="67"/>
      <c r="UMY5" s="68"/>
      <c r="UMZ5" s="68"/>
      <c r="UNA5" s="68"/>
      <c r="UNB5" s="68"/>
      <c r="UNC5" s="91"/>
      <c r="UND5" s="67"/>
      <c r="UNE5" s="76"/>
      <c r="UNF5" s="72"/>
      <c r="UNG5" s="72"/>
      <c r="UNH5" s="67"/>
      <c r="UNI5" s="67"/>
      <c r="UNJ5" s="68"/>
      <c r="UNK5" s="68"/>
      <c r="UNL5" s="68"/>
      <c r="UNM5" s="68"/>
      <c r="UNN5" s="67"/>
      <c r="UPN5" s="67"/>
      <c r="UPO5" s="67"/>
      <c r="UPP5" s="67"/>
      <c r="UPQ5" s="39"/>
      <c r="UPR5" s="40"/>
      <c r="UPS5" s="39"/>
      <c r="UPT5" s="67"/>
      <c r="UPU5" s="67"/>
      <c r="UPV5" s="68"/>
      <c r="UPW5" s="68"/>
      <c r="UPX5" s="68"/>
      <c r="UPY5" s="68"/>
      <c r="UPZ5" s="91"/>
      <c r="UQA5" s="67"/>
      <c r="UQB5" s="76"/>
      <c r="UQC5" s="72"/>
      <c r="UQD5" s="72"/>
      <c r="UQE5" s="67"/>
      <c r="UQF5" s="67"/>
      <c r="UQG5" s="68"/>
      <c r="UQH5" s="68"/>
      <c r="UQI5" s="68"/>
      <c r="UQJ5" s="68"/>
      <c r="UQK5" s="67"/>
      <c r="USK5" s="67"/>
      <c r="USL5" s="67"/>
      <c r="USM5" s="67"/>
      <c r="USN5" s="39"/>
      <c r="USO5" s="40"/>
      <c r="USP5" s="39"/>
      <c r="USQ5" s="67"/>
      <c r="USR5" s="67"/>
      <c r="USS5" s="68"/>
      <c r="UST5" s="68"/>
      <c r="USU5" s="68"/>
      <c r="USV5" s="68"/>
      <c r="USW5" s="91"/>
      <c r="USX5" s="67"/>
      <c r="USY5" s="76"/>
      <c r="USZ5" s="72"/>
      <c r="UTA5" s="72"/>
      <c r="UTB5" s="67"/>
      <c r="UTC5" s="67"/>
      <c r="UTD5" s="68"/>
      <c r="UTE5" s="68"/>
      <c r="UTF5" s="68"/>
      <c r="UTG5" s="68"/>
      <c r="UTH5" s="67"/>
      <c r="UVH5" s="67"/>
      <c r="UVI5" s="67"/>
      <c r="UVJ5" s="67"/>
      <c r="UVK5" s="39"/>
      <c r="UVL5" s="40"/>
      <c r="UVM5" s="39"/>
      <c r="UVN5" s="67"/>
      <c r="UVO5" s="67"/>
      <c r="UVP5" s="68"/>
      <c r="UVQ5" s="68"/>
      <c r="UVR5" s="68"/>
      <c r="UVS5" s="68"/>
      <c r="UVT5" s="91"/>
      <c r="UVU5" s="67"/>
      <c r="UVV5" s="76"/>
      <c r="UVW5" s="72"/>
      <c r="UVX5" s="72"/>
      <c r="UVY5" s="67"/>
      <c r="UVZ5" s="67"/>
      <c r="UWA5" s="68"/>
      <c r="UWB5" s="68"/>
      <c r="UWC5" s="68"/>
      <c r="UWD5" s="68"/>
      <c r="UWE5" s="67"/>
      <c r="UYE5" s="67"/>
      <c r="UYF5" s="67"/>
      <c r="UYG5" s="67"/>
      <c r="UYH5" s="39"/>
      <c r="UYI5" s="40"/>
      <c r="UYJ5" s="39"/>
      <c r="UYK5" s="67"/>
      <c r="UYL5" s="67"/>
      <c r="UYM5" s="68"/>
      <c r="UYN5" s="68"/>
      <c r="UYO5" s="68"/>
      <c r="UYP5" s="68"/>
      <c r="UYQ5" s="91"/>
      <c r="UYR5" s="67"/>
      <c r="UYS5" s="76"/>
      <c r="UYT5" s="72"/>
      <c r="UYU5" s="72"/>
      <c r="UYV5" s="67"/>
      <c r="UYW5" s="67"/>
      <c r="UYX5" s="68"/>
      <c r="UYY5" s="68"/>
      <c r="UYZ5" s="68"/>
      <c r="UZA5" s="68"/>
      <c r="UZB5" s="67"/>
      <c r="VBB5" s="67"/>
      <c r="VBC5" s="67"/>
      <c r="VBD5" s="67"/>
      <c r="VBE5" s="39"/>
      <c r="VBF5" s="40"/>
      <c r="VBG5" s="39"/>
      <c r="VBH5" s="67"/>
      <c r="VBI5" s="67"/>
      <c r="VBJ5" s="68"/>
      <c r="VBK5" s="68"/>
      <c r="VBL5" s="68"/>
      <c r="VBM5" s="68"/>
      <c r="VBN5" s="91"/>
      <c r="VBO5" s="67"/>
      <c r="VBP5" s="76"/>
      <c r="VBQ5" s="72"/>
      <c r="VBR5" s="72"/>
      <c r="VBS5" s="67"/>
      <c r="VBT5" s="67"/>
      <c r="VBU5" s="68"/>
      <c r="VBV5" s="68"/>
      <c r="VBW5" s="68"/>
      <c r="VBX5" s="68"/>
      <c r="VBY5" s="67"/>
      <c r="VDY5" s="67"/>
      <c r="VDZ5" s="67"/>
      <c r="VEA5" s="67"/>
      <c r="VEB5" s="39"/>
      <c r="VEC5" s="40"/>
      <c r="VED5" s="39"/>
      <c r="VEE5" s="67"/>
      <c r="VEF5" s="67"/>
      <c r="VEG5" s="68"/>
      <c r="VEH5" s="68"/>
      <c r="VEI5" s="68"/>
      <c r="VEJ5" s="68"/>
      <c r="VEK5" s="91"/>
      <c r="VEL5" s="67"/>
      <c r="VEM5" s="76"/>
      <c r="VEN5" s="72"/>
      <c r="VEO5" s="72"/>
      <c r="VEP5" s="67"/>
      <c r="VEQ5" s="67"/>
      <c r="VER5" s="68"/>
      <c r="VES5" s="68"/>
      <c r="VET5" s="68"/>
      <c r="VEU5" s="68"/>
      <c r="VEV5" s="67"/>
      <c r="VGV5" s="67"/>
      <c r="VGW5" s="67"/>
      <c r="VGX5" s="67"/>
      <c r="VGY5" s="39"/>
      <c r="VGZ5" s="40"/>
      <c r="VHA5" s="39"/>
      <c r="VHB5" s="67"/>
      <c r="VHC5" s="67"/>
      <c r="VHD5" s="68"/>
      <c r="VHE5" s="68"/>
      <c r="VHF5" s="68"/>
      <c r="VHG5" s="68"/>
      <c r="VHH5" s="91"/>
      <c r="VHI5" s="67"/>
      <c r="VHJ5" s="76"/>
      <c r="VHK5" s="72"/>
      <c r="VHL5" s="72"/>
      <c r="VHM5" s="67"/>
      <c r="VHN5" s="67"/>
      <c r="VHO5" s="68"/>
      <c r="VHP5" s="68"/>
      <c r="VHQ5" s="68"/>
      <c r="VHR5" s="68"/>
      <c r="VHS5" s="67"/>
      <c r="VJS5" s="67"/>
      <c r="VJT5" s="67"/>
      <c r="VJU5" s="67"/>
      <c r="VJV5" s="39"/>
      <c r="VJW5" s="40"/>
      <c r="VJX5" s="39"/>
      <c r="VJY5" s="67"/>
      <c r="VJZ5" s="67"/>
      <c r="VKA5" s="68"/>
      <c r="VKB5" s="68"/>
      <c r="VKC5" s="68"/>
      <c r="VKD5" s="68"/>
      <c r="VKE5" s="91"/>
      <c r="VKF5" s="67"/>
      <c r="VKG5" s="76"/>
      <c r="VKH5" s="72"/>
      <c r="VKI5" s="72"/>
      <c r="VKJ5" s="67"/>
      <c r="VKK5" s="67"/>
      <c r="VKL5" s="68"/>
      <c r="VKM5" s="68"/>
      <c r="VKN5" s="68"/>
      <c r="VKO5" s="68"/>
      <c r="VKP5" s="67"/>
      <c r="VMP5" s="67"/>
      <c r="VMQ5" s="67"/>
      <c r="VMR5" s="67"/>
      <c r="VMS5" s="39"/>
      <c r="VMT5" s="40"/>
      <c r="VMU5" s="39"/>
      <c r="VMV5" s="67"/>
      <c r="VMW5" s="67"/>
      <c r="VMX5" s="68"/>
      <c r="VMY5" s="68"/>
      <c r="VMZ5" s="68"/>
      <c r="VNA5" s="68"/>
      <c r="VNB5" s="91"/>
      <c r="VNC5" s="67"/>
      <c r="VND5" s="76"/>
      <c r="VNE5" s="72"/>
      <c r="VNF5" s="72"/>
      <c r="VNG5" s="67"/>
      <c r="VNH5" s="67"/>
      <c r="VNI5" s="68"/>
      <c r="VNJ5" s="68"/>
      <c r="VNK5" s="68"/>
      <c r="VNL5" s="68"/>
      <c r="VNM5" s="67"/>
      <c r="VPM5" s="67"/>
      <c r="VPN5" s="67"/>
      <c r="VPO5" s="67"/>
      <c r="VPP5" s="39"/>
      <c r="VPQ5" s="40"/>
      <c r="VPR5" s="39"/>
      <c r="VPS5" s="67"/>
      <c r="VPT5" s="67"/>
      <c r="VPU5" s="68"/>
      <c r="VPV5" s="68"/>
      <c r="VPW5" s="68"/>
      <c r="VPX5" s="68"/>
      <c r="VPY5" s="91"/>
      <c r="VPZ5" s="67"/>
      <c r="VQA5" s="76"/>
      <c r="VQB5" s="72"/>
      <c r="VQC5" s="72"/>
      <c r="VQD5" s="67"/>
      <c r="VQE5" s="67"/>
      <c r="VQF5" s="68"/>
      <c r="VQG5" s="68"/>
      <c r="VQH5" s="68"/>
      <c r="VQI5" s="68"/>
      <c r="VQJ5" s="67"/>
      <c r="VSJ5" s="67"/>
      <c r="VSK5" s="67"/>
      <c r="VSL5" s="67"/>
      <c r="VSM5" s="39"/>
      <c r="VSN5" s="40"/>
      <c r="VSO5" s="39"/>
      <c r="VSP5" s="67"/>
      <c r="VSQ5" s="67"/>
      <c r="VSR5" s="68"/>
      <c r="VSS5" s="68"/>
      <c r="VST5" s="68"/>
      <c r="VSU5" s="68"/>
      <c r="VSV5" s="91"/>
      <c r="VSW5" s="67"/>
      <c r="VSX5" s="76"/>
      <c r="VSY5" s="72"/>
      <c r="VSZ5" s="72"/>
      <c r="VTA5" s="67"/>
      <c r="VTB5" s="67"/>
      <c r="VTC5" s="68"/>
      <c r="VTD5" s="68"/>
      <c r="VTE5" s="68"/>
      <c r="VTF5" s="68"/>
      <c r="VTG5" s="67"/>
      <c r="VVG5" s="67"/>
      <c r="VVH5" s="67"/>
      <c r="VVI5" s="67"/>
      <c r="VVJ5" s="39"/>
      <c r="VVK5" s="40"/>
      <c r="VVL5" s="39"/>
      <c r="VVM5" s="67"/>
      <c r="VVN5" s="67"/>
      <c r="VVO5" s="68"/>
      <c r="VVP5" s="68"/>
      <c r="VVQ5" s="68"/>
      <c r="VVR5" s="68"/>
      <c r="VVS5" s="91"/>
      <c r="VVT5" s="67"/>
      <c r="VVU5" s="76"/>
      <c r="VVV5" s="72"/>
      <c r="VVW5" s="72"/>
      <c r="VVX5" s="67"/>
      <c r="VVY5" s="67"/>
      <c r="VVZ5" s="68"/>
      <c r="VWA5" s="68"/>
      <c r="VWB5" s="68"/>
      <c r="VWC5" s="68"/>
      <c r="VWD5" s="67"/>
      <c r="VYD5" s="67"/>
      <c r="VYE5" s="67"/>
      <c r="VYF5" s="67"/>
      <c r="VYG5" s="39"/>
      <c r="VYH5" s="40"/>
      <c r="VYI5" s="39"/>
      <c r="VYJ5" s="67"/>
      <c r="VYK5" s="67"/>
      <c r="VYL5" s="68"/>
      <c r="VYM5" s="68"/>
      <c r="VYN5" s="68"/>
      <c r="VYO5" s="68"/>
      <c r="VYP5" s="91"/>
      <c r="VYQ5" s="67"/>
      <c r="VYR5" s="76"/>
      <c r="VYS5" s="72"/>
      <c r="VYT5" s="72"/>
      <c r="VYU5" s="67"/>
      <c r="VYV5" s="67"/>
      <c r="VYW5" s="68"/>
      <c r="VYX5" s="68"/>
      <c r="VYY5" s="68"/>
      <c r="VYZ5" s="68"/>
      <c r="VZA5" s="67"/>
      <c r="WBA5" s="67"/>
      <c r="WBB5" s="67"/>
      <c r="WBC5" s="67"/>
      <c r="WBD5" s="39"/>
      <c r="WBE5" s="40"/>
      <c r="WBF5" s="39"/>
      <c r="WBG5" s="67"/>
      <c r="WBH5" s="67"/>
      <c r="WBI5" s="68"/>
      <c r="WBJ5" s="68"/>
      <c r="WBK5" s="68"/>
      <c r="WBL5" s="68"/>
      <c r="WBM5" s="91"/>
      <c r="WBN5" s="67"/>
      <c r="WBO5" s="76"/>
      <c r="WBP5" s="72"/>
      <c r="WBQ5" s="72"/>
      <c r="WBR5" s="67"/>
      <c r="WBS5" s="67"/>
      <c r="WBT5" s="68"/>
      <c r="WBU5" s="68"/>
      <c r="WBV5" s="68"/>
      <c r="WBW5" s="68"/>
      <c r="WBX5" s="67"/>
      <c r="WDX5" s="67"/>
      <c r="WDY5" s="67"/>
      <c r="WDZ5" s="67"/>
      <c r="WEA5" s="39"/>
      <c r="WEB5" s="40"/>
      <c r="WEC5" s="39"/>
      <c r="WED5" s="67"/>
      <c r="WEE5" s="67"/>
      <c r="WEF5" s="68"/>
      <c r="WEG5" s="68"/>
      <c r="WEH5" s="68"/>
      <c r="WEI5" s="68"/>
      <c r="WEJ5" s="91"/>
      <c r="WEK5" s="67"/>
      <c r="WEL5" s="76"/>
      <c r="WEM5" s="72"/>
      <c r="WEN5" s="72"/>
      <c r="WEO5" s="67"/>
      <c r="WEP5" s="67"/>
      <c r="WEQ5" s="68"/>
      <c r="WER5" s="68"/>
      <c r="WES5" s="68"/>
      <c r="WET5" s="68"/>
      <c r="WEU5" s="67"/>
      <c r="WGU5" s="67"/>
      <c r="WGV5" s="67"/>
      <c r="WGW5" s="67"/>
      <c r="WGX5" s="39"/>
      <c r="WGY5" s="40"/>
      <c r="WGZ5" s="39"/>
      <c r="WHA5" s="67"/>
      <c r="WHB5" s="67"/>
      <c r="WHC5" s="68"/>
      <c r="WHD5" s="68"/>
      <c r="WHE5" s="68"/>
      <c r="WHF5" s="68"/>
      <c r="WHG5" s="91"/>
      <c r="WHH5" s="67"/>
      <c r="WHI5" s="76"/>
      <c r="WHJ5" s="72"/>
      <c r="WHK5" s="72"/>
      <c r="WHL5" s="67"/>
      <c r="WHM5" s="67"/>
      <c r="WHN5" s="68"/>
      <c r="WHO5" s="68"/>
      <c r="WHP5" s="68"/>
      <c r="WHQ5" s="68"/>
      <c r="WHR5" s="67"/>
      <c r="WJR5" s="67"/>
      <c r="WJS5" s="67"/>
      <c r="WJT5" s="67"/>
      <c r="WJU5" s="39"/>
      <c r="WJV5" s="40"/>
      <c r="WJW5" s="39"/>
      <c r="WJX5" s="67"/>
      <c r="WJY5" s="67"/>
      <c r="WJZ5" s="68"/>
      <c r="WKA5" s="68"/>
      <c r="WKB5" s="68"/>
      <c r="WKC5" s="68"/>
      <c r="WKD5" s="91"/>
      <c r="WKE5" s="67"/>
      <c r="WKF5" s="76"/>
      <c r="WKG5" s="72"/>
      <c r="WKH5" s="72"/>
      <c r="WKI5" s="67"/>
      <c r="WKJ5" s="67"/>
      <c r="WKK5" s="68"/>
      <c r="WKL5" s="68"/>
      <c r="WKM5" s="68"/>
      <c r="WKN5" s="68"/>
      <c r="WKO5" s="67"/>
      <c r="WMO5" s="67"/>
      <c r="WMP5" s="67"/>
      <c r="WMQ5" s="67"/>
      <c r="WMR5" s="39"/>
      <c r="WMS5" s="40"/>
      <c r="WMT5" s="39"/>
      <c r="WMU5" s="67"/>
      <c r="WMV5" s="67"/>
      <c r="WMW5" s="68"/>
      <c r="WMX5" s="68"/>
      <c r="WMY5" s="68"/>
      <c r="WMZ5" s="68"/>
      <c r="WNA5" s="91"/>
      <c r="WNB5" s="67"/>
      <c r="WNC5" s="76"/>
      <c r="WND5" s="72"/>
      <c r="WNE5" s="72"/>
      <c r="WNF5" s="67"/>
      <c r="WNG5" s="67"/>
      <c r="WNH5" s="68"/>
      <c r="WNI5" s="68"/>
      <c r="WNJ5" s="68"/>
      <c r="WNK5" s="68"/>
      <c r="WNL5" s="67"/>
      <c r="WPL5" s="67"/>
      <c r="WPM5" s="67"/>
      <c r="WPN5" s="67"/>
      <c r="WPO5" s="39"/>
      <c r="WPP5" s="40"/>
      <c r="WPQ5" s="39"/>
      <c r="WPR5" s="67"/>
      <c r="WPS5" s="67"/>
      <c r="WPT5" s="68"/>
      <c r="WPU5" s="68"/>
      <c r="WPV5" s="68"/>
      <c r="WPW5" s="68"/>
      <c r="WPX5" s="91"/>
      <c r="WPY5" s="67"/>
      <c r="WPZ5" s="76"/>
      <c r="WQA5" s="72"/>
      <c r="WQB5" s="72"/>
      <c r="WQC5" s="67"/>
      <c r="WQD5" s="67"/>
      <c r="WQE5" s="68"/>
      <c r="WQF5" s="68"/>
      <c r="WQG5" s="68"/>
      <c r="WQH5" s="68"/>
      <c r="WQI5" s="67"/>
      <c r="WSI5" s="67"/>
      <c r="WSJ5" s="67"/>
      <c r="WSK5" s="67"/>
      <c r="WSL5" s="39"/>
      <c r="WSM5" s="40"/>
      <c r="WSN5" s="39"/>
      <c r="WSO5" s="67"/>
      <c r="WSP5" s="67"/>
      <c r="WSQ5" s="68"/>
      <c r="WSR5" s="68"/>
      <c r="WSS5" s="68"/>
      <c r="WST5" s="68"/>
      <c r="WSU5" s="91"/>
      <c r="WSV5" s="67"/>
      <c r="WSW5" s="76"/>
      <c r="WSX5" s="72"/>
      <c r="WSY5" s="72"/>
      <c r="WSZ5" s="67"/>
      <c r="WTA5" s="67"/>
      <c r="WTB5" s="68"/>
      <c r="WTC5" s="68"/>
      <c r="WTD5" s="68"/>
      <c r="WTE5" s="68"/>
      <c r="WTF5" s="67"/>
      <c r="WVF5" s="67"/>
      <c r="WVG5" s="67"/>
      <c r="WVH5" s="67"/>
      <c r="WVI5" s="39"/>
      <c r="WVJ5" s="40"/>
      <c r="WVK5" s="39"/>
      <c r="WVL5" s="67"/>
      <c r="WVM5" s="67"/>
      <c r="WVN5" s="68"/>
      <c r="WVO5" s="68"/>
      <c r="WVP5" s="68"/>
      <c r="WVQ5" s="68"/>
      <c r="WVR5" s="91"/>
      <c r="WVS5" s="67"/>
      <c r="WVT5" s="76"/>
      <c r="WVU5" s="72"/>
      <c r="WVV5" s="72"/>
      <c r="WVW5" s="67"/>
      <c r="WVX5" s="67"/>
      <c r="WVY5" s="68"/>
      <c r="WVZ5" s="68"/>
      <c r="WWA5" s="68"/>
      <c r="WWB5" s="68"/>
      <c r="WWC5" s="67"/>
      <c r="WYC5" s="67"/>
      <c r="WYD5" s="67"/>
      <c r="WYE5" s="67"/>
      <c r="WYF5" s="39"/>
      <c r="WYG5" s="40"/>
      <c r="WYH5" s="39"/>
      <c r="WYI5" s="67"/>
      <c r="WYJ5" s="67"/>
      <c r="WYK5" s="68"/>
      <c r="WYL5" s="68"/>
      <c r="WYM5" s="68"/>
      <c r="WYN5" s="68"/>
      <c r="WYO5" s="91"/>
      <c r="WYP5" s="67"/>
      <c r="WYQ5" s="76"/>
      <c r="WYR5" s="72"/>
      <c r="WYS5" s="72"/>
      <c r="WYT5" s="67"/>
      <c r="WYU5" s="67"/>
      <c r="WYV5" s="68"/>
      <c r="WYW5" s="68"/>
      <c r="WYX5" s="68"/>
      <c r="WYY5" s="68"/>
      <c r="WYZ5" s="67"/>
      <c r="XAZ5" s="67"/>
      <c r="XBA5" s="67"/>
      <c r="XBB5" s="67"/>
      <c r="XBC5" s="39"/>
      <c r="XBD5" s="40"/>
      <c r="XBE5" s="39"/>
      <c r="XBF5" s="67"/>
      <c r="XBG5" s="67"/>
      <c r="XBH5" s="68"/>
      <c r="XBI5" s="68"/>
      <c r="XBJ5" s="68"/>
      <c r="XBK5" s="68"/>
      <c r="XBL5" s="91"/>
      <c r="XBM5" s="67"/>
      <c r="XBN5" s="76"/>
      <c r="XBO5" s="72"/>
      <c r="XBP5" s="72"/>
      <c r="XBQ5" s="67"/>
      <c r="XBR5" s="67"/>
      <c r="XBS5" s="68"/>
      <c r="XBT5" s="68"/>
      <c r="XBU5" s="68"/>
      <c r="XBV5" s="68"/>
      <c r="XBW5" s="67"/>
      <c r="XDW5" s="67"/>
      <c r="XDX5" s="67"/>
      <c r="XDY5" s="67"/>
      <c r="XDZ5" s="39"/>
      <c r="XEA5" s="40"/>
      <c r="XEB5" s="39"/>
      <c r="XEC5" s="67"/>
      <c r="XED5" s="67"/>
      <c r="XEE5" s="68"/>
      <c r="XEF5" s="68"/>
      <c r="XEG5" s="68"/>
      <c r="XEH5" s="68"/>
      <c r="XEI5" s="91"/>
      <c r="XEJ5" s="67"/>
      <c r="XEK5" s="76"/>
      <c r="XEL5" s="72"/>
      <c r="XEM5" s="72"/>
      <c r="XEN5" s="67"/>
      <c r="XEO5" s="67"/>
      <c r="XEP5" s="68"/>
      <c r="XEQ5" s="68"/>
      <c r="XER5" s="68"/>
      <c r="XES5" s="68"/>
      <c r="XET5" s="67"/>
    </row>
    <row r="6" spans="1:999 1051:3024 3076:4074 4126:6099 6151:7149 7201:9174 9226:10224 10276:12249 12301:13299 13351:15324 15376:16374" s="36" customFormat="1">
      <c r="A6" s="5"/>
      <c r="B6" s="5"/>
      <c r="C6" s="5"/>
      <c r="D6" s="39"/>
      <c r="E6" s="40"/>
      <c r="F6" s="39"/>
      <c r="G6" s="5"/>
      <c r="H6" s="5"/>
      <c r="I6" s="3"/>
      <c r="J6" s="3"/>
      <c r="K6" s="3"/>
      <c r="L6" s="3"/>
      <c r="M6" s="41"/>
      <c r="N6" s="5"/>
      <c r="O6" s="5"/>
      <c r="P6" s="8"/>
      <c r="Q6" s="8"/>
      <c r="R6" s="5"/>
      <c r="S6" s="5"/>
      <c r="T6" s="3"/>
      <c r="U6" s="3"/>
      <c r="V6" s="3"/>
      <c r="W6" s="3"/>
      <c r="X6" s="88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90"/>
    </row>
    <row r="8" spans="1:999 1051:3024 3076:4074 4126:6099 6151:7149 7201:9174 9226:10224 10276:12249 12301:13299 13351:15324 15376:16374">
      <c r="Y8" s="3">
        <f t="shared" ref="Y8:AI8" si="8">W8-V8</f>
        <v>0</v>
      </c>
      <c r="Z8" s="3">
        <f t="shared" si="8"/>
        <v>0</v>
      </c>
      <c r="AA8" s="3">
        <f t="shared" si="8"/>
        <v>0</v>
      </c>
      <c r="AB8" s="3">
        <f t="shared" si="8"/>
        <v>0</v>
      </c>
      <c r="AC8" s="3">
        <f t="shared" si="8"/>
        <v>0</v>
      </c>
      <c r="AD8" s="3">
        <f t="shared" si="8"/>
        <v>0</v>
      </c>
      <c r="AE8" s="3">
        <f t="shared" si="8"/>
        <v>0</v>
      </c>
      <c r="AF8" s="3">
        <f t="shared" si="8"/>
        <v>0</v>
      </c>
      <c r="AG8" s="3">
        <f t="shared" si="8"/>
        <v>0</v>
      </c>
      <c r="AH8" s="3">
        <f t="shared" si="8"/>
        <v>0</v>
      </c>
      <c r="AI8" s="3">
        <f t="shared" si="8"/>
        <v>0</v>
      </c>
    </row>
  </sheetData>
  <dataConsolidate/>
  <conditionalFormatting sqref="BY1:BY2 CC7:CC1048576 BY6">
    <cfRule type="containsText" dxfId="8" priority="2" operator="containsText" text="False">
      <formula>NOT(ISERROR(SEARCH("False",BY1)))</formula>
    </cfRule>
  </conditionalFormatting>
  <conditionalFormatting sqref="BY3:BZ3">
    <cfRule type="containsText" dxfId="7" priority="1" operator="containsText" text="False">
      <formula>NOT(ISERROR(SEARCH("False",BY3)))</formula>
    </cfRule>
  </conditionalFormatting>
  <dataValidations count="1">
    <dataValidation type="list" allowBlank="1" showInputMessage="1" showErrorMessage="1" sqref="R4:R6" xr:uid="{43532AC7-5114-4447-B424-229F2223CC73}">
      <formula1>#REF!</formula1>
    </dataValidation>
  </dataValidations>
  <pageMargins left="0.11811023622047245" right="0.11811023622047245" top="0.15748031496062992" bottom="0.15748031496062992" header="0.31496062992125984" footer="0.31496062992125984"/>
  <pageSetup paperSize="9" scale="10" orientation="landscape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69078-9685-4CB8-A43D-822BF52FF95E}">
  <sheetPr>
    <tabColor theme="5" tint="0.59999389629810485"/>
  </sheetPr>
  <dimension ref="A1:EX363"/>
  <sheetViews>
    <sheetView zoomScaleNormal="100" workbookViewId="0">
      <pane xSplit="1" ySplit="3" topLeftCell="B4" activePane="bottomRight" state="frozen"/>
      <selection activeCell="H54" sqref="H54"/>
      <selection pane="topRight" activeCell="H54" sqref="H54"/>
      <selection pane="bottomLeft" activeCell="H54" sqref="H54"/>
      <selection pane="bottomRight" activeCell="I16" sqref="I16"/>
    </sheetView>
  </sheetViews>
  <sheetFormatPr defaultColWidth="9" defaultRowHeight="14.4"/>
  <cols>
    <col min="1" max="1" width="24" style="5" customWidth="1"/>
    <col min="2" max="2" width="15" style="3" customWidth="1"/>
    <col min="3" max="3" width="15.33203125" style="3" bestFit="1" customWidth="1"/>
    <col min="4" max="4" width="13.33203125" style="4" bestFit="1" customWidth="1"/>
    <col min="5" max="5" width="14.5546875" style="4" bestFit="1" customWidth="1"/>
    <col min="6" max="6" width="18" style="4" bestFit="1" customWidth="1"/>
    <col min="7" max="7" width="14" style="4" hidden="1" customWidth="1"/>
    <col min="8" max="8" width="17.33203125" style="5" bestFit="1" customWidth="1"/>
    <col min="9" max="9" width="26.109375" style="3" customWidth="1"/>
    <col min="10" max="10" width="27.33203125" bestFit="1" customWidth="1"/>
    <col min="11" max="11" width="33" style="3" bestFit="1" customWidth="1"/>
    <col min="12" max="12" width="24.33203125" customWidth="1"/>
    <col min="13" max="13" width="21.33203125" style="63" customWidth="1"/>
    <col min="14" max="14" width="52.88671875" customWidth="1"/>
    <col min="15" max="15" width="20.109375" style="7" customWidth="1"/>
    <col min="16" max="16" width="16.88671875" style="8" customWidth="1"/>
    <col min="17" max="17" width="19.6640625" style="8" customWidth="1"/>
    <col min="18" max="18" width="30.88671875" hidden="1" customWidth="1"/>
    <col min="19" max="20" width="9" customWidth="1"/>
    <col min="21" max="21" width="12" style="3" customWidth="1"/>
    <col min="22" max="22" width="22.109375" style="3" customWidth="1"/>
    <col min="23" max="23" width="31.109375" style="3" customWidth="1"/>
    <col min="24" max="24" width="18.33203125" style="3" bestFit="1" customWidth="1"/>
    <col min="25" max="25" width="13.33203125" style="3" customWidth="1"/>
    <col min="26" max="26" width="13.5546875" style="3" customWidth="1"/>
    <col min="27" max="27" width="14.88671875" style="3" customWidth="1"/>
    <col min="28" max="28" width="14.33203125" style="5" customWidth="1"/>
    <col min="29" max="29" width="14.88671875" style="3" customWidth="1"/>
    <col min="30" max="31" width="15.109375" style="3" customWidth="1"/>
    <col min="32" max="32" width="14.5546875" style="3" customWidth="1"/>
    <col min="33" max="33" width="15.109375" style="3" customWidth="1"/>
    <col min="34" max="34" width="15" style="3" customWidth="1"/>
    <col min="35" max="35" width="14.33203125" style="3" customWidth="1"/>
    <col min="36" max="37" width="15.109375" style="3" customWidth="1"/>
    <col min="38" max="38" width="14.88671875" style="3" customWidth="1"/>
    <col min="39" max="39" width="15.33203125" style="3" customWidth="1"/>
    <col min="40" max="40" width="15.109375" style="3" customWidth="1"/>
    <col min="41" max="41" width="14.33203125" style="3" customWidth="1"/>
    <col min="42" max="43" width="14.5546875" style="3" customWidth="1"/>
    <col min="44" max="44" width="14.33203125" style="3" customWidth="1"/>
    <col min="45" max="45" width="14.88671875" style="3" customWidth="1"/>
    <col min="46" max="46" width="14.5546875" style="3" customWidth="1"/>
    <col min="47" max="47" width="14" style="3" customWidth="1"/>
    <col min="48" max="48" width="14.5546875" style="3" customWidth="1"/>
    <col min="49" max="49" width="14.88671875" style="3" customWidth="1"/>
    <col min="50" max="50" width="14.33203125" style="3" customWidth="1"/>
    <col min="51" max="51" width="15" style="3" customWidth="1"/>
    <col min="52" max="52" width="14.88671875" style="3" customWidth="1"/>
    <col min="53" max="53" width="15.33203125" style="3" customWidth="1"/>
    <col min="54" max="55" width="15.5546875" style="3" customWidth="1"/>
    <col min="56" max="56" width="15.33203125" style="3" customWidth="1"/>
    <col min="57" max="57" width="15.88671875" style="3" customWidth="1"/>
    <col min="58" max="58" width="15.5546875" style="3" customWidth="1"/>
    <col min="59" max="59" width="15" style="3" customWidth="1"/>
    <col min="60" max="60" width="15.5546875" style="3" customWidth="1"/>
    <col min="61" max="61" width="15.88671875" style="3" customWidth="1"/>
    <col min="62" max="62" width="15.33203125" style="3" customWidth="1"/>
    <col min="63" max="63" width="16" style="3" customWidth="1"/>
    <col min="64" max="64" width="15.88671875" style="3" customWidth="1"/>
    <col min="65" max="73" width="9.109375" style="3" customWidth="1"/>
    <col min="74" max="74" width="12.33203125" style="3" customWidth="1"/>
    <col min="75" max="75" width="13.88671875" style="3" customWidth="1"/>
    <col min="76" max="77" width="9.109375" style="3" customWidth="1"/>
    <col min="78" max="78" width="11" style="3" customWidth="1"/>
    <col min="79" max="79" width="11.5546875" style="3" customWidth="1"/>
    <col min="80" max="80" width="2.88671875" style="4" customWidth="1"/>
    <col min="81" max="81" width="32.109375" style="4" bestFit="1" customWidth="1"/>
    <col min="82" max="82" width="22.109375" style="4" bestFit="1" customWidth="1"/>
    <col min="83" max="83" width="11.33203125" style="4" bestFit="1" customWidth="1"/>
    <col min="84" max="84" width="10.109375" style="4" bestFit="1" customWidth="1"/>
    <col min="85" max="85" width="9.88671875" style="4" bestFit="1" customWidth="1"/>
    <col min="86" max="16384" width="9" style="4"/>
  </cols>
  <sheetData>
    <row r="1" spans="1:154" ht="15" thickBot="1">
      <c r="A1" s="1" t="s">
        <v>0</v>
      </c>
      <c r="B1" s="2">
        <f>AVERAGE([20]Parameters!AH2:AS2)</f>
        <v>3.399999999999999</v>
      </c>
      <c r="G1"/>
      <c r="J1" s="3"/>
      <c r="M1" s="6"/>
      <c r="R1" s="3"/>
      <c r="S1" s="9"/>
      <c r="T1" s="77"/>
      <c r="U1" s="77"/>
      <c r="V1" s="11"/>
      <c r="W1" s="11"/>
      <c r="X1" s="78">
        <f>SUM(tblSOW3[Budget total cost])</f>
        <v>20256.500674964704</v>
      </c>
      <c r="AB1" s="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3">
        <v>1</v>
      </c>
      <c r="BJ1" s="3">
        <v>2</v>
      </c>
      <c r="BK1" s="3">
        <v>3</v>
      </c>
      <c r="BL1" s="3">
        <v>4</v>
      </c>
      <c r="BM1" s="3">
        <v>5</v>
      </c>
      <c r="BN1" s="3">
        <v>6</v>
      </c>
      <c r="BO1" s="3">
        <v>7</v>
      </c>
      <c r="BP1" s="3">
        <v>8</v>
      </c>
      <c r="BQ1" s="3">
        <v>9</v>
      </c>
      <c r="BR1" s="3">
        <v>10</v>
      </c>
      <c r="BS1" s="3">
        <v>11</v>
      </c>
      <c r="BT1" s="3">
        <v>12</v>
      </c>
      <c r="BX1" s="4"/>
      <c r="BY1" s="14"/>
      <c r="BZ1" s="4">
        <f>SUM(CD5:CD1048576)</f>
        <v>0</v>
      </c>
      <c r="CA1" s="4"/>
    </row>
    <row r="2" spans="1:154" s="18" customFormat="1" ht="29.4" thickBot="1">
      <c r="A2" s="15" t="s">
        <v>1</v>
      </c>
      <c r="B2" s="15" t="s">
        <v>2</v>
      </c>
      <c r="C2" s="15" t="s">
        <v>2</v>
      </c>
      <c r="D2" s="15" t="s">
        <v>2</v>
      </c>
      <c r="E2" s="15" t="s">
        <v>3</v>
      </c>
      <c r="F2" s="15" t="s">
        <v>4</v>
      </c>
      <c r="G2" s="16" t="s">
        <v>5</v>
      </c>
      <c r="H2" s="15" t="s">
        <v>1</v>
      </c>
      <c r="I2" s="15" t="s">
        <v>6</v>
      </c>
      <c r="J2" s="15" t="s">
        <v>7</v>
      </c>
      <c r="K2" s="17" t="s">
        <v>8</v>
      </c>
      <c r="L2" s="15" t="s">
        <v>1</v>
      </c>
      <c r="M2" s="14"/>
      <c r="P2" s="19"/>
      <c r="Q2" s="19"/>
      <c r="R2" s="20" t="s">
        <v>9</v>
      </c>
      <c r="S2" s="15" t="s">
        <v>1</v>
      </c>
      <c r="V2" s="21"/>
      <c r="W2" s="21"/>
      <c r="X2" s="79" t="s">
        <v>10</v>
      </c>
      <c r="Y2" s="23" t="s">
        <v>11</v>
      </c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5"/>
      <c r="AK2" s="23" t="s">
        <v>12</v>
      </c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5"/>
      <c r="AW2" s="23" t="s">
        <v>13</v>
      </c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5"/>
      <c r="BI2" s="23" t="s">
        <v>14</v>
      </c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5"/>
    </row>
    <row r="3" spans="1:154" s="38" customFormat="1" ht="43.2">
      <c r="A3" s="26" t="s">
        <v>15</v>
      </c>
      <c r="B3" s="26" t="s">
        <v>16</v>
      </c>
      <c r="C3" s="26" t="s">
        <v>17</v>
      </c>
      <c r="D3" s="27" t="s">
        <v>18</v>
      </c>
      <c r="E3" s="27" t="s">
        <v>19</v>
      </c>
      <c r="F3" s="27" t="s">
        <v>20</v>
      </c>
      <c r="G3" s="27" t="s">
        <v>21</v>
      </c>
      <c r="H3" s="26" t="s">
        <v>22</v>
      </c>
      <c r="I3" s="26" t="s">
        <v>23</v>
      </c>
      <c r="J3" s="26" t="s">
        <v>24</v>
      </c>
      <c r="K3" s="26" t="s">
        <v>25</v>
      </c>
      <c r="L3" s="28" t="s">
        <v>26</v>
      </c>
      <c r="M3" s="29" t="s">
        <v>27</v>
      </c>
      <c r="N3" s="30" t="s">
        <v>28</v>
      </c>
      <c r="O3" s="31" t="s">
        <v>29</v>
      </c>
      <c r="P3" s="32" t="s">
        <v>30</v>
      </c>
      <c r="Q3" s="32" t="s">
        <v>31</v>
      </c>
      <c r="R3" s="26" t="s">
        <v>32</v>
      </c>
      <c r="S3" s="26" t="s">
        <v>33</v>
      </c>
      <c r="T3" s="33" t="s">
        <v>34</v>
      </c>
      <c r="U3" s="34" t="s">
        <v>35</v>
      </c>
      <c r="V3" s="34" t="s">
        <v>36</v>
      </c>
      <c r="W3" s="34" t="s">
        <v>37</v>
      </c>
      <c r="X3" s="34" t="s">
        <v>38</v>
      </c>
      <c r="Y3" s="33" t="s">
        <v>39</v>
      </c>
      <c r="Z3" s="33" t="s">
        <v>40</v>
      </c>
      <c r="AA3" s="33" t="s">
        <v>41</v>
      </c>
      <c r="AB3" s="33" t="s">
        <v>42</v>
      </c>
      <c r="AC3" s="33" t="s">
        <v>43</v>
      </c>
      <c r="AD3" s="33" t="s">
        <v>44</v>
      </c>
      <c r="AE3" s="33" t="s">
        <v>45</v>
      </c>
      <c r="AF3" s="33" t="s">
        <v>46</v>
      </c>
      <c r="AG3" s="33" t="s">
        <v>47</v>
      </c>
      <c r="AH3" s="33" t="s">
        <v>48</v>
      </c>
      <c r="AI3" s="33" t="s">
        <v>49</v>
      </c>
      <c r="AJ3" s="33" t="s">
        <v>50</v>
      </c>
      <c r="AK3" s="33" t="s">
        <v>51</v>
      </c>
      <c r="AL3" s="33" t="s">
        <v>52</v>
      </c>
      <c r="AM3" s="33" t="s">
        <v>53</v>
      </c>
      <c r="AN3" s="33" t="s">
        <v>54</v>
      </c>
      <c r="AO3" s="33" t="s">
        <v>55</v>
      </c>
      <c r="AP3" s="33" t="s">
        <v>56</v>
      </c>
      <c r="AQ3" s="33" t="s">
        <v>57</v>
      </c>
      <c r="AR3" s="33" t="s">
        <v>58</v>
      </c>
      <c r="AS3" s="33" t="s">
        <v>59</v>
      </c>
      <c r="AT3" s="33" t="s">
        <v>60</v>
      </c>
      <c r="AU3" s="33" t="s">
        <v>61</v>
      </c>
      <c r="AV3" s="33" t="s">
        <v>62</v>
      </c>
      <c r="AW3" s="33" t="s">
        <v>63</v>
      </c>
      <c r="AX3" s="33" t="s">
        <v>64</v>
      </c>
      <c r="AY3" s="33" t="s">
        <v>65</v>
      </c>
      <c r="AZ3" s="33" t="s">
        <v>66</v>
      </c>
      <c r="BA3" s="33" t="s">
        <v>67</v>
      </c>
      <c r="BB3" s="33" t="s">
        <v>68</v>
      </c>
      <c r="BC3" s="33" t="s">
        <v>69</v>
      </c>
      <c r="BD3" s="33" t="s">
        <v>70</v>
      </c>
      <c r="BE3" s="33" t="s">
        <v>71</v>
      </c>
      <c r="BF3" s="33" t="s">
        <v>72</v>
      </c>
      <c r="BG3" s="33" t="s">
        <v>73</v>
      </c>
      <c r="BH3" s="33" t="s">
        <v>74</v>
      </c>
      <c r="BI3" s="33" t="s">
        <v>75</v>
      </c>
      <c r="BJ3" s="33" t="s">
        <v>76</v>
      </c>
      <c r="BK3" s="33" t="s">
        <v>77</v>
      </c>
      <c r="BL3" s="33" t="s">
        <v>78</v>
      </c>
      <c r="BM3" s="33" t="s">
        <v>79</v>
      </c>
      <c r="BN3" s="33" t="s">
        <v>80</v>
      </c>
      <c r="BO3" s="33" t="s">
        <v>81</v>
      </c>
      <c r="BP3" s="33" t="s">
        <v>82</v>
      </c>
      <c r="BQ3" s="33" t="s">
        <v>83</v>
      </c>
      <c r="BR3" s="33" t="s">
        <v>84</v>
      </c>
      <c r="BS3" s="33" t="s">
        <v>85</v>
      </c>
      <c r="BT3" s="33" t="s">
        <v>86</v>
      </c>
      <c r="BU3" s="33" t="s">
        <v>87</v>
      </c>
      <c r="BV3" s="33" t="s">
        <v>88</v>
      </c>
      <c r="BW3" s="33" t="s">
        <v>89</v>
      </c>
      <c r="BX3" s="36"/>
      <c r="BY3" s="37"/>
      <c r="BZ3" s="4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6"/>
      <c r="CQ3" s="36"/>
      <c r="CR3" s="36"/>
      <c r="CS3" s="36"/>
      <c r="CT3" s="36"/>
      <c r="CU3" s="36"/>
      <c r="CV3" s="36"/>
      <c r="CW3" s="36"/>
      <c r="CX3" s="36"/>
      <c r="CY3" s="36"/>
      <c r="CZ3" s="36"/>
      <c r="DA3" s="36"/>
      <c r="DB3" s="36"/>
      <c r="DC3" s="36"/>
      <c r="DD3" s="36"/>
      <c r="DE3" s="36"/>
      <c r="DF3" s="36"/>
      <c r="DG3" s="36"/>
      <c r="DH3" s="36"/>
      <c r="DI3" s="36"/>
      <c r="DJ3" s="36"/>
      <c r="DK3" s="36"/>
      <c r="DL3" s="36"/>
      <c r="DM3" s="36"/>
      <c r="DN3" s="36"/>
      <c r="DO3" s="36"/>
      <c r="DP3" s="36"/>
      <c r="DQ3" s="36"/>
      <c r="DR3" s="36"/>
      <c r="DS3" s="36"/>
      <c r="DT3" s="36"/>
      <c r="DU3" s="36"/>
      <c r="DV3" s="36"/>
      <c r="DW3" s="36"/>
      <c r="DX3" s="36"/>
      <c r="DY3" s="36"/>
      <c r="DZ3" s="36"/>
      <c r="EA3" s="36"/>
      <c r="EB3" s="36"/>
      <c r="EC3" s="36"/>
      <c r="ED3" s="36"/>
      <c r="EE3" s="36"/>
      <c r="EF3" s="36"/>
      <c r="EG3" s="36"/>
      <c r="EH3" s="36"/>
      <c r="EI3" s="36"/>
      <c r="EJ3" s="36"/>
      <c r="EK3" s="36"/>
      <c r="EL3" s="36"/>
      <c r="EM3" s="36"/>
      <c r="EN3" s="36"/>
      <c r="EO3" s="36"/>
      <c r="EP3" s="36"/>
      <c r="EQ3" s="36"/>
      <c r="ER3" s="36"/>
      <c r="ES3" s="36"/>
      <c r="ET3" s="36"/>
      <c r="EU3" s="36"/>
      <c r="EV3" s="36"/>
      <c r="EW3" s="36"/>
      <c r="EX3" s="36"/>
    </row>
    <row r="4" spans="1:154" s="75" customFormat="1">
      <c r="A4" s="67" t="str">
        <f>CONCATENATE(INDEX([20]Parameters!$U$1:$V$20,MATCH(C4,[20]Parameters!$V$1:$V$20,0),1),"/",VLOOKUP(D4,[20]Parameters!$CG$1:$CH$12,2,0),".",E4,".",H4,".",LEFT(J4,3),"-",LEFT(K4,4))</f>
        <v>B30/20.P999.427.950-T109</v>
      </c>
      <c r="B4" s="67" t="s">
        <v>111</v>
      </c>
      <c r="C4" s="67" t="s">
        <v>112</v>
      </c>
      <c r="D4" s="39" t="s">
        <v>95</v>
      </c>
      <c r="E4" s="40" t="str">
        <f>VLOOKUP(F4,[20]Parameters!P:T,4,0)</f>
        <v>P999</v>
      </c>
      <c r="F4" s="39" t="s">
        <v>92</v>
      </c>
      <c r="G4" s="67"/>
      <c r="H4" s="67">
        <f>INDEX([20]Parameters!$B:$C,MATCH(I4,[20]Parameters!$C:$C,0),1)</f>
        <v>427</v>
      </c>
      <c r="I4" s="68" t="s">
        <v>104</v>
      </c>
      <c r="J4" s="68" t="s">
        <v>94</v>
      </c>
      <c r="K4" s="68" t="s">
        <v>105</v>
      </c>
      <c r="L4" s="67" t="str">
        <f>IFERROR(VLOOKUP(tblSOW3[[#This Row],[Employee name ]],[20]Parameters!CP:CS,4,0),"")</f>
        <v/>
      </c>
      <c r="M4" s="82"/>
      <c r="N4" s="67"/>
      <c r="O4" s="76"/>
      <c r="P4" s="72">
        <v>44927</v>
      </c>
      <c r="Q4" s="72">
        <v>45291</v>
      </c>
      <c r="R4" s="76"/>
      <c r="S4" s="67">
        <f t="shared" ref="S4:S6" si="0">IF(OR(P4="",Q4=""),0,MONTH(Q4)-MONTH(P4)+1)</f>
        <v>12</v>
      </c>
      <c r="T4" s="68"/>
      <c r="U4" s="68">
        <v>22</v>
      </c>
      <c r="V4" s="68"/>
      <c r="W4" s="68" t="str">
        <f>IF(AND(ISNUMBER(SEARCH("-T",tblSOW3[[#This Row],[Budget Item]])),NOT(ISNUMBER(tblSOW3[[#This Row],[Task Units]]))),"Please Enter Task Units",
IF(AND(ISNUMBER(SEARCH("-E000",tblSOW3[[#This Row],[Budget Item]])),NOT(ISNUMBER(tblSOW3[[#This Row],[% work on project]]))),"Please Enter Organic FTE",
IF(AND(ISNUMBER(SEARCH("-E999",tblSOW3[[#This Row],[Budget Item]])),NOT(ISNUMBER(tblSOW3[[#This Row],[External Expenses/Revenues USD]]))),"Please Enter External Expenses",
"")))</f>
        <v/>
      </c>
      <c r="X4" s="67">
        <f>SUM(tblSOW3[[#This Row],[Jan 2023 USD]:[Dec 2023 USD]])</f>
        <v>10333.347243617907</v>
      </c>
      <c r="Y4" s="74">
        <f>tblSOW3[[#This Row],[FTE Cost]]*tblSOW3[[#This Row],[% work on project]]*AK4/12+tblSOW3[[#This Row],[Task Cost]]*AW4+tblSOW3[[#This Row],[External Expenses/Revenues USD]]*BI4/tblSOW3[[#This Row],[Duration]]</f>
        <v>861.11227030149223</v>
      </c>
      <c r="Z4" s="74">
        <f>tblSOW3[[#This Row],[FTE Cost]]*tblSOW3[[#This Row],[% work on project]]*AL4/12+tblSOW3[[#This Row],[Task Cost]]*AX4+tblSOW3[[#This Row],[External Expenses/Revenues USD]]*BJ4/tblSOW3[[#This Row],[Duration]]</f>
        <v>861.11227030149223</v>
      </c>
      <c r="AA4" s="74">
        <f>tblSOW3[[#This Row],[FTE Cost]]*tblSOW3[[#This Row],[% work on project]]*AM4/12+tblSOW3[[#This Row],[Task Cost]]*AY4+tblSOW3[[#This Row],[External Expenses/Revenues USD]]*BK4/tblSOW3[[#This Row],[Duration]]</f>
        <v>861.11227030149223</v>
      </c>
      <c r="AB4" s="74">
        <f>tblSOW3[[#This Row],[FTE Cost]]*tblSOW3[[#This Row],[% work on project]]*AN4/12+tblSOW3[[#This Row],[Task Cost]]*AZ4+tblSOW3[[#This Row],[External Expenses/Revenues USD]]*BL4/tblSOW3[[#This Row],[Duration]]</f>
        <v>861.11227030149223</v>
      </c>
      <c r="AC4" s="74">
        <f>tblSOW3[[#This Row],[FTE Cost]]*tblSOW3[[#This Row],[% work on project]]*AO4/12+tblSOW3[[#This Row],[Task Cost]]*BA4+tblSOW3[[#This Row],[External Expenses/Revenues USD]]*BM4/tblSOW3[[#This Row],[Duration]]</f>
        <v>861.11227030149223</v>
      </c>
      <c r="AD4" s="74">
        <f>tblSOW3[[#This Row],[FTE Cost]]*tblSOW3[[#This Row],[% work on project]]*AP4/12+tblSOW3[[#This Row],[Task Cost]]*BB4+tblSOW3[[#This Row],[External Expenses/Revenues USD]]*BN4/tblSOW3[[#This Row],[Duration]]</f>
        <v>861.11227030149223</v>
      </c>
      <c r="AE4" s="74">
        <f>tblSOW3[[#This Row],[FTE Cost]]*tblSOW3[[#This Row],[% work on project]]*AQ4/12+tblSOW3[[#This Row],[Task Cost]]*BC4+tblSOW3[[#This Row],[External Expenses/Revenues USD]]*BO4/tblSOW3[[#This Row],[Duration]]</f>
        <v>861.11227030149223</v>
      </c>
      <c r="AF4" s="74">
        <f>tblSOW3[[#This Row],[FTE Cost]]*tblSOW3[[#This Row],[% work on project]]*AR4/12+tblSOW3[[#This Row],[Task Cost]]*BD4+tblSOW3[[#This Row],[External Expenses/Revenues USD]]*BP4/tblSOW3[[#This Row],[Duration]]</f>
        <v>861.11227030149223</v>
      </c>
      <c r="AG4" s="74">
        <f>tblSOW3[[#This Row],[FTE Cost]]*tblSOW3[[#This Row],[% work on project]]*AS4/12+tblSOW3[[#This Row],[Task Cost]]*BE4+tblSOW3[[#This Row],[External Expenses/Revenues USD]]*BQ4/tblSOW3[[#This Row],[Duration]]</f>
        <v>861.11227030149223</v>
      </c>
      <c r="AH4" s="74">
        <f>tblSOW3[[#This Row],[FTE Cost]]*tblSOW3[[#This Row],[% work on project]]*AT4/12+tblSOW3[[#This Row],[Task Cost]]*BF4+tblSOW3[[#This Row],[External Expenses/Revenues USD]]*BR4/tblSOW3[[#This Row],[Duration]]</f>
        <v>861.11227030149223</v>
      </c>
      <c r="AI4" s="74">
        <f>tblSOW3[[#This Row],[FTE Cost]]*tblSOW3[[#This Row],[% work on project]]*AU4/12+tblSOW3[[#This Row],[Task Cost]]*BG4+tblSOW3[[#This Row],[External Expenses/Revenues USD]]*BS4/tblSOW3[[#This Row],[Duration]]</f>
        <v>861.11227030149223</v>
      </c>
      <c r="AJ4" s="74">
        <f>tblSOW3[[#This Row],[FTE Cost]]*tblSOW3[[#This Row],[% work on project]]*AV4/12+tblSOW3[[#This Row],[Task Cost]]*BH4+tblSOW3[[#This Row],[External Expenses/Revenues USD]]*BT4/tblSOW3[[#This Row],[Duration]]</f>
        <v>861.11227030149223</v>
      </c>
      <c r="AK4" s="74">
        <f t="shared" ref="AK4:AV6" si="1">$S4/$BU4*BI4</f>
        <v>1</v>
      </c>
      <c r="AL4" s="74">
        <f t="shared" si="1"/>
        <v>1</v>
      </c>
      <c r="AM4" s="74">
        <f t="shared" si="1"/>
        <v>1</v>
      </c>
      <c r="AN4" s="74">
        <f t="shared" si="1"/>
        <v>1</v>
      </c>
      <c r="AO4" s="74">
        <f t="shared" si="1"/>
        <v>1</v>
      </c>
      <c r="AP4" s="74">
        <f t="shared" si="1"/>
        <v>1</v>
      </c>
      <c r="AQ4" s="74">
        <f t="shared" si="1"/>
        <v>1</v>
      </c>
      <c r="AR4" s="74">
        <f t="shared" si="1"/>
        <v>1</v>
      </c>
      <c r="AS4" s="74">
        <f t="shared" si="1"/>
        <v>1</v>
      </c>
      <c r="AT4" s="74">
        <f t="shared" si="1"/>
        <v>1</v>
      </c>
      <c r="AU4" s="74">
        <f t="shared" si="1"/>
        <v>1</v>
      </c>
      <c r="AV4" s="74">
        <f t="shared" si="1"/>
        <v>1</v>
      </c>
      <c r="AW4" s="74">
        <f t="shared" ref="AW4:BH6" si="2">$U4/$BU4*BI4</f>
        <v>1.8333333333333333</v>
      </c>
      <c r="AX4" s="74">
        <f t="shared" si="2"/>
        <v>1.8333333333333333</v>
      </c>
      <c r="AY4" s="74">
        <f t="shared" si="2"/>
        <v>1.8333333333333333</v>
      </c>
      <c r="AZ4" s="74">
        <f t="shared" si="2"/>
        <v>1.8333333333333333</v>
      </c>
      <c r="BA4" s="74">
        <f t="shared" si="2"/>
        <v>1.8333333333333333</v>
      </c>
      <c r="BB4" s="74">
        <f t="shared" si="2"/>
        <v>1.8333333333333333</v>
      </c>
      <c r="BC4" s="74">
        <f t="shared" si="2"/>
        <v>1.8333333333333333</v>
      </c>
      <c r="BD4" s="74">
        <f t="shared" si="2"/>
        <v>1.8333333333333333</v>
      </c>
      <c r="BE4" s="74">
        <f t="shared" si="2"/>
        <v>1.8333333333333333</v>
      </c>
      <c r="BF4" s="74">
        <f t="shared" si="2"/>
        <v>1.8333333333333333</v>
      </c>
      <c r="BG4" s="74">
        <f t="shared" si="2"/>
        <v>1.8333333333333333</v>
      </c>
      <c r="BH4" s="74">
        <f t="shared" si="2"/>
        <v>1.8333333333333333</v>
      </c>
      <c r="BI4" s="74">
        <f t="shared" ref="BI4:BT6" si="3">IF($S4&gt;0,IF(AND(MONTH($P4)&lt;=BI$1,MONTH($Q4)&gt;=BI$1),1,0),0)</f>
        <v>1</v>
      </c>
      <c r="BJ4" s="74">
        <f t="shared" si="3"/>
        <v>1</v>
      </c>
      <c r="BK4" s="74">
        <f t="shared" si="3"/>
        <v>1</v>
      </c>
      <c r="BL4" s="74">
        <f t="shared" si="3"/>
        <v>1</v>
      </c>
      <c r="BM4" s="74">
        <f t="shared" si="3"/>
        <v>1</v>
      </c>
      <c r="BN4" s="74">
        <f t="shared" si="3"/>
        <v>1</v>
      </c>
      <c r="BO4" s="74">
        <f t="shared" si="3"/>
        <v>1</v>
      </c>
      <c r="BP4" s="74">
        <f t="shared" si="3"/>
        <v>1</v>
      </c>
      <c r="BQ4" s="74">
        <f t="shared" si="3"/>
        <v>1</v>
      </c>
      <c r="BR4" s="74">
        <f t="shared" si="3"/>
        <v>1</v>
      </c>
      <c r="BS4" s="74">
        <f t="shared" si="3"/>
        <v>1</v>
      </c>
      <c r="BT4" s="74">
        <f t="shared" si="3"/>
        <v>1</v>
      </c>
      <c r="BU4" s="74">
        <f>SUM(tblSOW3[[#This Row],[P1]:[P12]])</f>
        <v>12</v>
      </c>
      <c r="BV4" s="74">
        <f>IFERROR(VLOOKUP(H4,[20]Parameters!CK:CN,3,0),0)</f>
        <v>0</v>
      </c>
      <c r="BW4" s="74">
        <f>IFERROR(VLOOKUP(K4,[20]Parameters!BN:BW,10,0),0)</f>
        <v>469.69760198263214</v>
      </c>
      <c r="BY4" s="83"/>
      <c r="BZ4" s="84"/>
    </row>
    <row r="5" spans="1:154" s="75" customFormat="1" ht="18.75" customHeight="1">
      <c r="A5" s="67" t="str">
        <f>CONCATENATE(INDEX([20]Parameters!$U$1:$V$20,MATCH(C5,[20]Parameters!$V$1:$V$20,0),1),"/",VLOOKUP(D5,[20]Parameters!$CG$1:$CH$12,2,0),".",E5,".",H5,".",LEFT(J5,3),"-",LEFT(K5,4))</f>
        <v>B30/20.P999.405.950-T103</v>
      </c>
      <c r="B5" s="67" t="s">
        <v>111</v>
      </c>
      <c r="C5" s="67" t="s">
        <v>112</v>
      </c>
      <c r="D5" s="39" t="s">
        <v>95</v>
      </c>
      <c r="E5" s="40" t="str">
        <f>VLOOKUP(F5,[20]Parameters!P:T,4,0)</f>
        <v>P999</v>
      </c>
      <c r="F5" s="39" t="s">
        <v>92</v>
      </c>
      <c r="G5" s="67"/>
      <c r="H5" s="67">
        <f>INDEX([20]Parameters!$B:$C,MATCH(I5,[20]Parameters!$C:$C,0),1)</f>
        <v>405</v>
      </c>
      <c r="I5" s="68" t="s">
        <v>98</v>
      </c>
      <c r="J5" s="68" t="s">
        <v>94</v>
      </c>
      <c r="K5" s="68" t="s">
        <v>99</v>
      </c>
      <c r="L5" s="68" t="str">
        <f>IFERROR(VLOOKUP(tblSOW3[[#This Row],[Employee name ]],[20]Parameters!CP:CS,4,0),"")</f>
        <v/>
      </c>
      <c r="M5" s="69"/>
      <c r="N5" s="67"/>
      <c r="O5" s="76"/>
      <c r="P5" s="72">
        <v>44927</v>
      </c>
      <c r="Q5" s="72">
        <v>45291</v>
      </c>
      <c r="R5" s="68"/>
      <c r="S5" s="67">
        <f t="shared" si="0"/>
        <v>12</v>
      </c>
      <c r="T5" s="68"/>
      <c r="U5" s="68">
        <v>12</v>
      </c>
      <c r="V5" s="68"/>
      <c r="W5" s="68" t="str">
        <f>IF(AND(ISNUMBER(SEARCH("-T",tblSOW3[[#This Row],[Budget Item]])),NOT(ISNUMBER(tblSOW3[[#This Row],[Task Units]]))),"Please Enter Task Units",
IF(AND(ISNUMBER(SEARCH("-E000",tblSOW3[[#This Row],[Budget Item]])),NOT(ISNUMBER(tblSOW3[[#This Row],[% work on project]]))),"Please Enter Organic FTE",
IF(AND(ISNUMBER(SEARCH("-E999",tblSOW3[[#This Row],[Budget Item]])),NOT(ISNUMBER(tblSOW3[[#This Row],[External Expenses/Revenues USD]]))),"Please Enter External Expenses",
"")))</f>
        <v/>
      </c>
      <c r="X5" s="67">
        <f>SUM(tblSOW3[[#This Row],[Jan 2023 USD]:[Dec 2023 USD]])</f>
        <v>9017.1936009288002</v>
      </c>
      <c r="Y5" s="74">
        <f>tblSOW3[[#This Row],[FTE Cost]]*tblSOW3[[#This Row],[% work on project]]*AK5/12+tblSOW3[[#This Row],[Task Cost]]*AW5+tblSOW3[[#This Row],[External Expenses/Revenues USD]]*BI5/tblSOW3[[#This Row],[Duration]]</f>
        <v>751.43280007739986</v>
      </c>
      <c r="Z5" s="74">
        <f>tblSOW3[[#This Row],[FTE Cost]]*tblSOW3[[#This Row],[% work on project]]*AL5/12+tblSOW3[[#This Row],[Task Cost]]*AX5+tblSOW3[[#This Row],[External Expenses/Revenues USD]]*BJ5/tblSOW3[[#This Row],[Duration]]</f>
        <v>751.43280007739986</v>
      </c>
      <c r="AA5" s="74">
        <f>tblSOW3[[#This Row],[FTE Cost]]*tblSOW3[[#This Row],[% work on project]]*AM5/12+tblSOW3[[#This Row],[Task Cost]]*AY5+tblSOW3[[#This Row],[External Expenses/Revenues USD]]*BK5/tblSOW3[[#This Row],[Duration]]</f>
        <v>751.43280007739986</v>
      </c>
      <c r="AB5" s="74">
        <f>tblSOW3[[#This Row],[FTE Cost]]*tblSOW3[[#This Row],[% work on project]]*AN5/12+tblSOW3[[#This Row],[Task Cost]]*AZ5+tblSOW3[[#This Row],[External Expenses/Revenues USD]]*BL5/tblSOW3[[#This Row],[Duration]]</f>
        <v>751.43280007739986</v>
      </c>
      <c r="AC5" s="74">
        <f>tblSOW3[[#This Row],[FTE Cost]]*tblSOW3[[#This Row],[% work on project]]*AO5/12+tblSOW3[[#This Row],[Task Cost]]*BA5+tblSOW3[[#This Row],[External Expenses/Revenues USD]]*BM5/tblSOW3[[#This Row],[Duration]]</f>
        <v>751.43280007739986</v>
      </c>
      <c r="AD5" s="74">
        <f>tblSOW3[[#This Row],[FTE Cost]]*tblSOW3[[#This Row],[% work on project]]*AP5/12+tblSOW3[[#This Row],[Task Cost]]*BB5+tblSOW3[[#This Row],[External Expenses/Revenues USD]]*BN5/tblSOW3[[#This Row],[Duration]]</f>
        <v>751.43280007739986</v>
      </c>
      <c r="AE5" s="74">
        <f>tblSOW3[[#This Row],[FTE Cost]]*tblSOW3[[#This Row],[% work on project]]*AQ5/12+tblSOW3[[#This Row],[Task Cost]]*BC5+tblSOW3[[#This Row],[External Expenses/Revenues USD]]*BO5/tblSOW3[[#This Row],[Duration]]</f>
        <v>751.43280007739986</v>
      </c>
      <c r="AF5" s="74">
        <f>tblSOW3[[#This Row],[FTE Cost]]*tblSOW3[[#This Row],[% work on project]]*AR5/12+tblSOW3[[#This Row],[Task Cost]]*BD5+tblSOW3[[#This Row],[External Expenses/Revenues USD]]*BP5/tblSOW3[[#This Row],[Duration]]</f>
        <v>751.43280007739986</v>
      </c>
      <c r="AG5" s="74">
        <f>tblSOW3[[#This Row],[FTE Cost]]*tblSOW3[[#This Row],[% work on project]]*AS5/12+tblSOW3[[#This Row],[Task Cost]]*BE5+tblSOW3[[#This Row],[External Expenses/Revenues USD]]*BQ5/tblSOW3[[#This Row],[Duration]]</f>
        <v>751.43280007739986</v>
      </c>
      <c r="AH5" s="74">
        <f>tblSOW3[[#This Row],[FTE Cost]]*tblSOW3[[#This Row],[% work on project]]*AT5/12+tblSOW3[[#This Row],[Task Cost]]*BF5+tblSOW3[[#This Row],[External Expenses/Revenues USD]]*BR5/tblSOW3[[#This Row],[Duration]]</f>
        <v>751.43280007739986</v>
      </c>
      <c r="AI5" s="74">
        <f>tblSOW3[[#This Row],[FTE Cost]]*tblSOW3[[#This Row],[% work on project]]*AU5/12+tblSOW3[[#This Row],[Task Cost]]*BG5+tblSOW3[[#This Row],[External Expenses/Revenues USD]]*BS5/tblSOW3[[#This Row],[Duration]]</f>
        <v>751.43280007739986</v>
      </c>
      <c r="AJ5" s="74">
        <f>tblSOW3[[#This Row],[FTE Cost]]*tblSOW3[[#This Row],[% work on project]]*AV5/12+tblSOW3[[#This Row],[Task Cost]]*BH5+tblSOW3[[#This Row],[External Expenses/Revenues USD]]*BT5/tblSOW3[[#This Row],[Duration]]</f>
        <v>751.43280007739986</v>
      </c>
      <c r="AK5" s="74">
        <f t="shared" si="1"/>
        <v>1</v>
      </c>
      <c r="AL5" s="74">
        <f t="shared" si="1"/>
        <v>1</v>
      </c>
      <c r="AM5" s="74">
        <f t="shared" si="1"/>
        <v>1</v>
      </c>
      <c r="AN5" s="74">
        <f t="shared" si="1"/>
        <v>1</v>
      </c>
      <c r="AO5" s="74">
        <f t="shared" si="1"/>
        <v>1</v>
      </c>
      <c r="AP5" s="74">
        <f t="shared" si="1"/>
        <v>1</v>
      </c>
      <c r="AQ5" s="74">
        <f t="shared" si="1"/>
        <v>1</v>
      </c>
      <c r="AR5" s="74">
        <f t="shared" si="1"/>
        <v>1</v>
      </c>
      <c r="AS5" s="74">
        <f t="shared" si="1"/>
        <v>1</v>
      </c>
      <c r="AT5" s="74">
        <f t="shared" si="1"/>
        <v>1</v>
      </c>
      <c r="AU5" s="74">
        <f t="shared" si="1"/>
        <v>1</v>
      </c>
      <c r="AV5" s="74">
        <f t="shared" si="1"/>
        <v>1</v>
      </c>
      <c r="AW5" s="74">
        <f t="shared" si="2"/>
        <v>1</v>
      </c>
      <c r="AX5" s="74">
        <f t="shared" si="2"/>
        <v>1</v>
      </c>
      <c r="AY5" s="74">
        <f t="shared" si="2"/>
        <v>1</v>
      </c>
      <c r="AZ5" s="74">
        <f t="shared" si="2"/>
        <v>1</v>
      </c>
      <c r="BA5" s="74">
        <f t="shared" si="2"/>
        <v>1</v>
      </c>
      <c r="BB5" s="74">
        <f t="shared" si="2"/>
        <v>1</v>
      </c>
      <c r="BC5" s="74">
        <f t="shared" si="2"/>
        <v>1</v>
      </c>
      <c r="BD5" s="74">
        <f t="shared" si="2"/>
        <v>1</v>
      </c>
      <c r="BE5" s="74">
        <f t="shared" si="2"/>
        <v>1</v>
      </c>
      <c r="BF5" s="74">
        <f t="shared" si="2"/>
        <v>1</v>
      </c>
      <c r="BG5" s="74">
        <f t="shared" si="2"/>
        <v>1</v>
      </c>
      <c r="BH5" s="74">
        <f t="shared" si="2"/>
        <v>1</v>
      </c>
      <c r="BI5" s="74">
        <f t="shared" si="3"/>
        <v>1</v>
      </c>
      <c r="BJ5" s="74">
        <f t="shared" si="3"/>
        <v>1</v>
      </c>
      <c r="BK5" s="74">
        <f t="shared" si="3"/>
        <v>1</v>
      </c>
      <c r="BL5" s="74">
        <f t="shared" si="3"/>
        <v>1</v>
      </c>
      <c r="BM5" s="74">
        <f t="shared" si="3"/>
        <v>1</v>
      </c>
      <c r="BN5" s="74">
        <f t="shared" si="3"/>
        <v>1</v>
      </c>
      <c r="BO5" s="74">
        <f t="shared" si="3"/>
        <v>1</v>
      </c>
      <c r="BP5" s="74">
        <f t="shared" si="3"/>
        <v>1</v>
      </c>
      <c r="BQ5" s="74">
        <f t="shared" si="3"/>
        <v>1</v>
      </c>
      <c r="BR5" s="74">
        <f t="shared" si="3"/>
        <v>1</v>
      </c>
      <c r="BS5" s="74">
        <f t="shared" si="3"/>
        <v>1</v>
      </c>
      <c r="BT5" s="74">
        <f t="shared" si="3"/>
        <v>1</v>
      </c>
      <c r="BU5" s="74">
        <f>SUM(tblSOW3[[#This Row],[P1]:[P12]])</f>
        <v>12</v>
      </c>
      <c r="BV5" s="74">
        <f xml:space="preserve"> IF(AND(ISNUMBER(SEARCH("-E000",tblSOW3[[#This Row],[Budget Item]])), ISERROR(VLOOKUP(tblSOW3[[#This Row],[Employee name ]],[20]Parameters!CP:DH,19,0))),VLOOKUP(tblSOW3[[#This Row],[Employee name ]],[20]Parameters!CP:DH,19,0),IFERROR(VLOOKUP(tblSOW3[[#This Row],[Employee name ]],[20]Parameters!CP:DH,19,0),0))</f>
        <v>0</v>
      </c>
      <c r="BW5" s="74">
        <f>IFERROR(VLOOKUP(K5,[20]Parameters!BN:BW,10,0),0)</f>
        <v>751.43280007739986</v>
      </c>
    </row>
    <row r="6" spans="1:154" s="75" customFormat="1" ht="18.75" customHeight="1">
      <c r="A6" s="67" t="str">
        <f>CONCATENATE(INDEX([20]Parameters!$U$1:$V$20,MATCH(C6,[20]Parameters!$V$1:$V$20,0),1),"/",VLOOKUP(D6,[20]Parameters!$CG$1:$CH$12,2,0),".",E6,".",H6,".",LEFT(J6,3),"-",LEFT(K6,4))</f>
        <v>B30/20.P999.420.950-T112</v>
      </c>
      <c r="B6" s="67" t="s">
        <v>111</v>
      </c>
      <c r="C6" s="67" t="s">
        <v>112</v>
      </c>
      <c r="D6" s="39" t="s">
        <v>95</v>
      </c>
      <c r="E6" s="40" t="str">
        <f>VLOOKUP(F6,[20]Parameters!P:T,4,0)</f>
        <v>P999</v>
      </c>
      <c r="F6" s="39" t="s">
        <v>92</v>
      </c>
      <c r="G6" s="67"/>
      <c r="H6" s="67">
        <f>INDEX([20]Parameters!$B:$C,MATCH(I6,[20]Parameters!$C:$C,0),1)</f>
        <v>420</v>
      </c>
      <c r="I6" s="68" t="s">
        <v>113</v>
      </c>
      <c r="J6" s="68" t="s">
        <v>94</v>
      </c>
      <c r="K6" s="68" t="s">
        <v>107</v>
      </c>
      <c r="L6" s="68"/>
      <c r="M6" s="69"/>
      <c r="N6" s="67"/>
      <c r="O6" s="76"/>
      <c r="P6" s="72">
        <v>44927</v>
      </c>
      <c r="Q6" s="72">
        <v>45291</v>
      </c>
      <c r="R6" s="68"/>
      <c r="S6" s="67">
        <f t="shared" si="0"/>
        <v>12</v>
      </c>
      <c r="T6" s="68"/>
      <c r="U6" s="68">
        <v>1</v>
      </c>
      <c r="V6" s="68"/>
      <c r="W6" s="68"/>
      <c r="X6" s="67">
        <f>SUM(tblSOW3[[#This Row],[Jan 2023 USD]:[Dec 2023 USD]])</f>
        <v>905.95983041799684</v>
      </c>
      <c r="Y6" s="74">
        <f>tblSOW3[[#This Row],[FTE Cost]]*tblSOW3[[#This Row],[% work on project]]*AK6/12+tblSOW3[[#This Row],[Task Cost]]*AW6+tblSOW3[[#This Row],[External Expenses/Revenues USD]]*BI6/tblSOW3[[#This Row],[Duration]]</f>
        <v>75.496652534833075</v>
      </c>
      <c r="Z6" s="74">
        <f>tblSOW3[[#This Row],[FTE Cost]]*tblSOW3[[#This Row],[% work on project]]*AL6/12+tblSOW3[[#This Row],[Task Cost]]*AX6+tblSOW3[[#This Row],[External Expenses/Revenues USD]]*BJ6/tblSOW3[[#This Row],[Duration]]</f>
        <v>75.496652534833075</v>
      </c>
      <c r="AA6" s="74">
        <f>tblSOW3[[#This Row],[FTE Cost]]*tblSOW3[[#This Row],[% work on project]]*AM6/12+tblSOW3[[#This Row],[Task Cost]]*AY6+tblSOW3[[#This Row],[External Expenses/Revenues USD]]*BK6/tblSOW3[[#This Row],[Duration]]</f>
        <v>75.496652534833075</v>
      </c>
      <c r="AB6" s="74">
        <f>tblSOW3[[#This Row],[FTE Cost]]*tblSOW3[[#This Row],[% work on project]]*AN6/12+tblSOW3[[#This Row],[Task Cost]]*AZ6+tblSOW3[[#This Row],[External Expenses/Revenues USD]]*BL6/tblSOW3[[#This Row],[Duration]]</f>
        <v>75.496652534833075</v>
      </c>
      <c r="AC6" s="74">
        <f>tblSOW3[[#This Row],[FTE Cost]]*tblSOW3[[#This Row],[% work on project]]*AO6/12+tblSOW3[[#This Row],[Task Cost]]*BA6+tblSOW3[[#This Row],[External Expenses/Revenues USD]]*BM6/tblSOW3[[#This Row],[Duration]]</f>
        <v>75.496652534833075</v>
      </c>
      <c r="AD6" s="74">
        <f>tblSOW3[[#This Row],[FTE Cost]]*tblSOW3[[#This Row],[% work on project]]*AP6/12+tblSOW3[[#This Row],[Task Cost]]*BB6+tblSOW3[[#This Row],[External Expenses/Revenues USD]]*BN6/tblSOW3[[#This Row],[Duration]]</f>
        <v>75.496652534833075</v>
      </c>
      <c r="AE6" s="74">
        <f>tblSOW3[[#This Row],[FTE Cost]]*tblSOW3[[#This Row],[% work on project]]*AQ6/12+tblSOW3[[#This Row],[Task Cost]]*BC6+tblSOW3[[#This Row],[External Expenses/Revenues USD]]*BO6/tblSOW3[[#This Row],[Duration]]</f>
        <v>75.496652534833075</v>
      </c>
      <c r="AF6" s="74">
        <f>tblSOW3[[#This Row],[FTE Cost]]*tblSOW3[[#This Row],[% work on project]]*AR6/12+tblSOW3[[#This Row],[Task Cost]]*BD6+tblSOW3[[#This Row],[External Expenses/Revenues USD]]*BP6/tblSOW3[[#This Row],[Duration]]</f>
        <v>75.496652534833075</v>
      </c>
      <c r="AG6" s="74">
        <f>tblSOW3[[#This Row],[FTE Cost]]*tblSOW3[[#This Row],[% work on project]]*AS6/12+tblSOW3[[#This Row],[Task Cost]]*BE6+tblSOW3[[#This Row],[External Expenses/Revenues USD]]*BQ6/tblSOW3[[#This Row],[Duration]]</f>
        <v>75.496652534833075</v>
      </c>
      <c r="AH6" s="74">
        <f>tblSOW3[[#This Row],[FTE Cost]]*tblSOW3[[#This Row],[% work on project]]*AT6/12+tblSOW3[[#This Row],[Task Cost]]*BF6+tblSOW3[[#This Row],[External Expenses/Revenues USD]]*BR6/tblSOW3[[#This Row],[Duration]]</f>
        <v>75.496652534833075</v>
      </c>
      <c r="AI6" s="74">
        <f>tblSOW3[[#This Row],[FTE Cost]]*tblSOW3[[#This Row],[% work on project]]*AU6/12+tblSOW3[[#This Row],[Task Cost]]*BG6+tblSOW3[[#This Row],[External Expenses/Revenues USD]]*BS6/tblSOW3[[#This Row],[Duration]]</f>
        <v>75.496652534833075</v>
      </c>
      <c r="AJ6" s="74">
        <f>tblSOW3[[#This Row],[FTE Cost]]*tblSOW3[[#This Row],[% work on project]]*AV6/12+tblSOW3[[#This Row],[Task Cost]]*BH6+tblSOW3[[#This Row],[External Expenses/Revenues USD]]*BT6/tblSOW3[[#This Row],[Duration]]</f>
        <v>75.496652534833075</v>
      </c>
      <c r="AK6" s="74">
        <f t="shared" si="1"/>
        <v>1</v>
      </c>
      <c r="AL6" s="74">
        <f t="shared" si="1"/>
        <v>1</v>
      </c>
      <c r="AM6" s="74">
        <f t="shared" si="1"/>
        <v>1</v>
      </c>
      <c r="AN6" s="74">
        <f t="shared" si="1"/>
        <v>1</v>
      </c>
      <c r="AO6" s="74">
        <f t="shared" si="1"/>
        <v>1</v>
      </c>
      <c r="AP6" s="74">
        <f t="shared" si="1"/>
        <v>1</v>
      </c>
      <c r="AQ6" s="74">
        <f t="shared" si="1"/>
        <v>1</v>
      </c>
      <c r="AR6" s="74">
        <f t="shared" si="1"/>
        <v>1</v>
      </c>
      <c r="AS6" s="74">
        <f t="shared" si="1"/>
        <v>1</v>
      </c>
      <c r="AT6" s="74">
        <f t="shared" si="1"/>
        <v>1</v>
      </c>
      <c r="AU6" s="74">
        <f t="shared" si="1"/>
        <v>1</v>
      </c>
      <c r="AV6" s="74">
        <f t="shared" si="1"/>
        <v>1</v>
      </c>
      <c r="AW6" s="74">
        <f t="shared" si="2"/>
        <v>8.3333333333333329E-2</v>
      </c>
      <c r="AX6" s="74">
        <f t="shared" si="2"/>
        <v>8.3333333333333329E-2</v>
      </c>
      <c r="AY6" s="74">
        <f t="shared" si="2"/>
        <v>8.3333333333333329E-2</v>
      </c>
      <c r="AZ6" s="74">
        <f t="shared" si="2"/>
        <v>8.3333333333333329E-2</v>
      </c>
      <c r="BA6" s="74">
        <f t="shared" si="2"/>
        <v>8.3333333333333329E-2</v>
      </c>
      <c r="BB6" s="74">
        <f t="shared" si="2"/>
        <v>8.3333333333333329E-2</v>
      </c>
      <c r="BC6" s="74">
        <f t="shared" si="2"/>
        <v>8.3333333333333329E-2</v>
      </c>
      <c r="BD6" s="74">
        <f t="shared" si="2"/>
        <v>8.3333333333333329E-2</v>
      </c>
      <c r="BE6" s="74">
        <f t="shared" si="2"/>
        <v>8.3333333333333329E-2</v>
      </c>
      <c r="BF6" s="74">
        <f t="shared" si="2"/>
        <v>8.3333333333333329E-2</v>
      </c>
      <c r="BG6" s="74">
        <f t="shared" si="2"/>
        <v>8.3333333333333329E-2</v>
      </c>
      <c r="BH6" s="74">
        <f t="shared" si="2"/>
        <v>8.3333333333333329E-2</v>
      </c>
      <c r="BI6" s="74">
        <f t="shared" si="3"/>
        <v>1</v>
      </c>
      <c r="BJ6" s="74">
        <f t="shared" si="3"/>
        <v>1</v>
      </c>
      <c r="BK6" s="74">
        <f t="shared" si="3"/>
        <v>1</v>
      </c>
      <c r="BL6" s="74">
        <f t="shared" si="3"/>
        <v>1</v>
      </c>
      <c r="BM6" s="74">
        <f t="shared" si="3"/>
        <v>1</v>
      </c>
      <c r="BN6" s="74">
        <f t="shared" si="3"/>
        <v>1</v>
      </c>
      <c r="BO6" s="74">
        <f t="shared" si="3"/>
        <v>1</v>
      </c>
      <c r="BP6" s="74">
        <f t="shared" si="3"/>
        <v>1</v>
      </c>
      <c r="BQ6" s="74">
        <f t="shared" si="3"/>
        <v>1</v>
      </c>
      <c r="BR6" s="74">
        <f t="shared" si="3"/>
        <v>1</v>
      </c>
      <c r="BS6" s="74">
        <f t="shared" si="3"/>
        <v>1</v>
      </c>
      <c r="BT6" s="74">
        <f t="shared" si="3"/>
        <v>1</v>
      </c>
      <c r="BU6" s="74">
        <f>SUM(tblSOW3[[#This Row],[P1]:[P12]])</f>
        <v>12</v>
      </c>
      <c r="BV6" s="74">
        <f xml:space="preserve"> IF(AND(ISNUMBER(SEARCH("-E000",tblSOW3[[#This Row],[Budget Item]])), ISERROR(VLOOKUP(tblSOW3[[#This Row],[Employee name ]],[20]Parameters!CP:DH,19,0))),VLOOKUP(tblSOW3[[#This Row],[Employee name ]],[20]Parameters!CP:DH,19,0),IFERROR(VLOOKUP(tblSOW3[[#This Row],[Employee name ]],[20]Parameters!CP:DH,19,0),0))</f>
        <v>0</v>
      </c>
      <c r="BW6" s="74">
        <f>IFERROR(VLOOKUP(K6,[20]Parameters!BN:BW,10,0),0)</f>
        <v>905.95983041799695</v>
      </c>
    </row>
    <row r="7" spans="1:154" s="36" customFormat="1" ht="18.75" customHeight="1">
      <c r="A7" s="5"/>
      <c r="B7" s="5"/>
      <c r="C7" s="5"/>
      <c r="D7" s="39"/>
      <c r="E7" s="40"/>
      <c r="F7" s="39"/>
      <c r="G7" s="5"/>
      <c r="H7" s="5"/>
      <c r="I7" s="3"/>
      <c r="J7" s="3"/>
      <c r="K7" s="3"/>
      <c r="L7" s="3"/>
      <c r="M7" s="41"/>
      <c r="N7" s="5"/>
      <c r="O7" s="42"/>
      <c r="P7" s="8"/>
      <c r="Q7" s="8"/>
      <c r="R7" s="3"/>
      <c r="S7" s="5"/>
      <c r="T7" s="3"/>
      <c r="U7" s="3"/>
      <c r="V7" s="3"/>
      <c r="W7" s="3"/>
      <c r="X7" s="5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</row>
    <row r="8" spans="1:154" s="36" customFormat="1" ht="18.75" customHeight="1">
      <c r="A8" s="5"/>
      <c r="B8" s="5"/>
      <c r="C8" s="5"/>
      <c r="D8" s="39"/>
      <c r="E8" s="40"/>
      <c r="F8" s="39"/>
      <c r="G8" s="5"/>
      <c r="H8" s="5"/>
      <c r="I8" s="3"/>
      <c r="J8" s="3"/>
      <c r="K8" s="3"/>
      <c r="L8" s="3"/>
      <c r="M8" s="41"/>
      <c r="N8" s="5"/>
      <c r="O8" s="42"/>
      <c r="P8" s="8"/>
      <c r="Q8" s="8"/>
      <c r="R8" s="3"/>
      <c r="S8" s="5"/>
      <c r="T8" s="3"/>
      <c r="U8" s="3"/>
      <c r="V8" s="3"/>
      <c r="W8" s="3"/>
      <c r="X8" s="5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</row>
    <row r="9" spans="1:154" s="36" customFormat="1" ht="18.75" customHeight="1">
      <c r="A9" s="5"/>
      <c r="B9" s="5"/>
      <c r="C9" s="5"/>
      <c r="D9" s="39"/>
      <c r="E9" s="40"/>
      <c r="F9" s="39"/>
      <c r="G9" s="5"/>
      <c r="H9" s="5"/>
      <c r="I9" s="3"/>
      <c r="J9" s="3"/>
      <c r="K9" s="3"/>
      <c r="L9" s="3"/>
      <c r="M9" s="41"/>
      <c r="N9" s="5"/>
      <c r="O9" s="42"/>
      <c r="P9" s="8"/>
      <c r="Q9" s="8"/>
      <c r="R9" s="3"/>
      <c r="S9" s="5"/>
      <c r="T9" s="3"/>
      <c r="U9" s="3"/>
      <c r="V9" s="3"/>
      <c r="W9" s="3"/>
      <c r="X9" s="5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</row>
    <row r="10" spans="1:154" s="36" customFormat="1" ht="18.75" customHeight="1">
      <c r="A10" s="5"/>
      <c r="B10" s="5"/>
      <c r="C10" s="5"/>
      <c r="D10" s="39"/>
      <c r="E10" s="40"/>
      <c r="F10" s="39"/>
      <c r="G10" s="5"/>
      <c r="H10" s="5"/>
      <c r="I10" s="3"/>
      <c r="J10" s="3"/>
      <c r="K10" s="3"/>
      <c r="L10" s="3"/>
      <c r="M10" s="41"/>
      <c r="N10" s="5"/>
      <c r="O10" s="42"/>
      <c r="P10" s="8"/>
      <c r="Q10" s="8"/>
      <c r="R10" s="3"/>
      <c r="S10" s="5"/>
      <c r="T10" s="3"/>
      <c r="U10" s="3"/>
      <c r="V10" s="3"/>
      <c r="W10" s="3"/>
      <c r="X10" s="5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</row>
    <row r="11" spans="1:154" s="36" customFormat="1" ht="18.75" customHeight="1">
      <c r="A11" s="5"/>
      <c r="B11" s="5"/>
      <c r="C11" s="5"/>
      <c r="D11" s="39"/>
      <c r="E11" s="40"/>
      <c r="F11" s="39"/>
      <c r="G11" s="5"/>
      <c r="H11" s="5"/>
      <c r="I11" s="3"/>
      <c r="J11" s="3"/>
      <c r="K11" s="3"/>
      <c r="L11" s="3"/>
      <c r="M11" s="41"/>
      <c r="N11" s="5"/>
      <c r="O11" s="42"/>
      <c r="P11" s="8"/>
      <c r="Q11" s="8"/>
      <c r="R11" s="3"/>
      <c r="S11" s="5"/>
      <c r="T11" s="3"/>
      <c r="U11" s="3"/>
      <c r="V11" s="3"/>
      <c r="W11" s="3"/>
      <c r="X11" s="5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</row>
    <row r="12" spans="1:154" s="36" customFormat="1" ht="18.75" customHeight="1">
      <c r="A12" s="5"/>
      <c r="B12" s="5"/>
      <c r="C12" s="5"/>
      <c r="D12" s="39"/>
      <c r="E12" s="40"/>
      <c r="F12" s="39"/>
      <c r="G12" s="5"/>
      <c r="H12" s="5"/>
      <c r="I12" s="3"/>
      <c r="J12" s="3"/>
      <c r="K12" s="3"/>
      <c r="L12" s="3"/>
      <c r="M12" s="41"/>
      <c r="N12" s="5"/>
      <c r="O12" s="42"/>
      <c r="P12" s="8"/>
      <c r="Q12" s="8"/>
      <c r="R12" s="3"/>
      <c r="S12" s="5"/>
      <c r="T12" s="3"/>
      <c r="U12" s="3"/>
      <c r="V12" s="3"/>
      <c r="W12" s="3"/>
      <c r="X12" s="5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</row>
    <row r="13" spans="1:154" s="36" customFormat="1" ht="18.75" customHeight="1">
      <c r="A13" s="5"/>
      <c r="B13" s="5"/>
      <c r="C13" s="5"/>
      <c r="D13" s="39"/>
      <c r="E13" s="40"/>
      <c r="F13" s="39"/>
      <c r="G13" s="5"/>
      <c r="H13" s="44"/>
      <c r="I13" s="5"/>
      <c r="J13" s="3"/>
      <c r="K13" s="3"/>
      <c r="L13" s="5"/>
      <c r="M13" s="45"/>
      <c r="N13" s="5"/>
      <c r="O13" s="42"/>
      <c r="P13" s="8"/>
      <c r="Q13" s="8"/>
      <c r="R13" s="3"/>
      <c r="S13" s="5"/>
      <c r="T13" s="3"/>
      <c r="U13" s="3"/>
      <c r="V13" s="3"/>
      <c r="W13" s="3"/>
      <c r="X13" s="5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</row>
    <row r="14" spans="1:154" s="36" customFormat="1" ht="18.75" customHeight="1">
      <c r="A14" s="5"/>
      <c r="B14" s="5"/>
      <c r="C14" s="5"/>
      <c r="D14" s="39"/>
      <c r="E14" s="40"/>
      <c r="F14" s="39"/>
      <c r="G14" s="5"/>
      <c r="H14" s="5"/>
      <c r="I14" s="3"/>
      <c r="J14" s="3"/>
      <c r="K14" s="3"/>
      <c r="L14" s="3"/>
      <c r="M14" s="41"/>
      <c r="N14" s="5"/>
      <c r="O14" s="42"/>
      <c r="P14" s="8"/>
      <c r="Q14" s="8"/>
      <c r="R14" s="5"/>
      <c r="S14" s="5"/>
      <c r="T14" s="3"/>
      <c r="U14" s="3"/>
      <c r="V14" s="3"/>
      <c r="W14" s="3"/>
      <c r="X14" s="5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</row>
    <row r="15" spans="1:154" s="36" customFormat="1" ht="18.75" customHeight="1">
      <c r="A15" s="5"/>
      <c r="B15" s="5"/>
      <c r="C15" s="5"/>
      <c r="D15" s="39"/>
      <c r="E15" s="40"/>
      <c r="F15" s="39"/>
      <c r="G15" s="5"/>
      <c r="H15" s="44"/>
      <c r="I15" s="3"/>
      <c r="J15" s="3"/>
      <c r="K15" s="3"/>
      <c r="L15" s="5"/>
      <c r="M15" s="45"/>
      <c r="N15" s="5"/>
      <c r="O15" s="42"/>
      <c r="P15" s="8"/>
      <c r="Q15" s="8"/>
      <c r="R15" s="5"/>
      <c r="S15" s="5"/>
      <c r="T15" s="3"/>
      <c r="U15" s="3"/>
      <c r="V15" s="3"/>
      <c r="W15" s="3"/>
      <c r="X15" s="5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</row>
    <row r="16" spans="1:154" s="36" customFormat="1" ht="18.75" customHeight="1">
      <c r="A16" s="5"/>
      <c r="B16" s="5"/>
      <c r="C16" s="5"/>
      <c r="D16" s="39"/>
      <c r="E16" s="40"/>
      <c r="F16" s="39"/>
      <c r="G16" s="5"/>
      <c r="H16" s="5"/>
      <c r="I16" s="3"/>
      <c r="J16" s="3"/>
      <c r="K16" s="3"/>
      <c r="L16" s="3"/>
      <c r="M16" s="41"/>
      <c r="N16" s="5"/>
      <c r="O16" s="46"/>
      <c r="P16" s="8"/>
      <c r="Q16" s="8"/>
      <c r="R16" s="5"/>
      <c r="S16" s="5"/>
      <c r="T16" s="3"/>
      <c r="U16" s="3"/>
      <c r="V16" s="3"/>
      <c r="W16" s="3"/>
      <c r="X16" s="5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</row>
    <row r="17" spans="1:75" s="36" customFormat="1" ht="18.75" customHeight="1">
      <c r="A17" s="5"/>
      <c r="B17" s="5"/>
      <c r="C17" s="5"/>
      <c r="D17" s="39"/>
      <c r="E17" s="40"/>
      <c r="F17" s="39"/>
      <c r="G17" s="5"/>
      <c r="H17" s="5"/>
      <c r="I17" s="3"/>
      <c r="J17" s="3"/>
      <c r="K17" s="3"/>
      <c r="L17" s="3"/>
      <c r="M17" s="41"/>
      <c r="N17" s="5"/>
      <c r="O17" s="42"/>
      <c r="P17" s="8"/>
      <c r="Q17" s="8"/>
      <c r="R17" s="5"/>
      <c r="S17" s="5"/>
      <c r="T17" s="3"/>
      <c r="U17" s="3"/>
      <c r="V17" s="3"/>
      <c r="W17" s="3"/>
      <c r="X17" s="5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</row>
    <row r="18" spans="1:75" s="36" customFormat="1" ht="18.75" customHeight="1">
      <c r="A18" s="5"/>
      <c r="B18" s="5"/>
      <c r="C18" s="5"/>
      <c r="D18" s="39"/>
      <c r="E18" s="40"/>
      <c r="F18" s="39"/>
      <c r="G18" s="5"/>
      <c r="H18" s="5"/>
      <c r="I18" s="3"/>
      <c r="J18" s="3"/>
      <c r="K18" s="3"/>
      <c r="L18" s="3"/>
      <c r="M18" s="41"/>
      <c r="N18" s="5"/>
      <c r="O18" s="42"/>
      <c r="P18" s="8"/>
      <c r="Q18" s="8"/>
      <c r="R18" s="5"/>
      <c r="S18" s="5"/>
      <c r="T18" s="3"/>
      <c r="U18" s="3"/>
      <c r="V18" s="3"/>
      <c r="W18" s="3"/>
      <c r="X18" s="5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</row>
    <row r="19" spans="1:75" s="36" customFormat="1" ht="18.75" customHeight="1">
      <c r="A19" s="5"/>
      <c r="B19" s="5"/>
      <c r="C19" s="5"/>
      <c r="D19" s="39"/>
      <c r="E19" s="40"/>
      <c r="F19" s="39"/>
      <c r="G19" s="5"/>
      <c r="H19" s="5"/>
      <c r="I19" s="3"/>
      <c r="J19" s="3"/>
      <c r="K19" s="3"/>
      <c r="L19" s="3"/>
      <c r="M19" s="41"/>
      <c r="N19" s="5"/>
      <c r="O19" s="42"/>
      <c r="P19" s="8"/>
      <c r="Q19" s="8"/>
      <c r="R19" s="5"/>
      <c r="S19" s="5"/>
      <c r="T19" s="3"/>
      <c r="U19" s="3"/>
      <c r="V19" s="3"/>
      <c r="W19" s="3"/>
      <c r="X19" s="5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</row>
    <row r="20" spans="1:75" s="36" customFormat="1" ht="18.75" customHeight="1">
      <c r="A20" s="5"/>
      <c r="B20" s="5"/>
      <c r="C20" s="5"/>
      <c r="D20" s="39"/>
      <c r="E20" s="40"/>
      <c r="F20" s="39"/>
      <c r="G20" s="5"/>
      <c r="H20" s="5"/>
      <c r="I20" s="3"/>
      <c r="J20" s="3"/>
      <c r="K20" s="3"/>
      <c r="L20" s="3"/>
      <c r="M20" s="41"/>
      <c r="N20" s="5"/>
      <c r="O20" s="5"/>
      <c r="P20" s="8"/>
      <c r="Q20" s="8"/>
      <c r="R20" s="5"/>
      <c r="S20" s="5"/>
      <c r="T20" s="3"/>
      <c r="U20" s="3"/>
      <c r="V20" s="3"/>
      <c r="W20" s="3"/>
      <c r="X20" s="5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</row>
    <row r="21" spans="1:75" s="36" customFormat="1" ht="18.75" customHeight="1">
      <c r="A21" s="5"/>
      <c r="B21" s="5"/>
      <c r="C21" s="5"/>
      <c r="D21" s="39"/>
      <c r="E21" s="40"/>
      <c r="F21" s="39"/>
      <c r="G21" s="5"/>
      <c r="H21" s="5"/>
      <c r="I21" s="3"/>
      <c r="J21" s="3"/>
      <c r="K21" s="3"/>
      <c r="L21" s="3"/>
      <c r="M21" s="41"/>
      <c r="N21" s="5"/>
      <c r="O21" s="42"/>
      <c r="P21" s="8"/>
      <c r="Q21" s="8"/>
      <c r="R21" s="5"/>
      <c r="S21" s="5"/>
      <c r="T21" s="3"/>
      <c r="U21" s="3"/>
      <c r="V21" s="3"/>
      <c r="W21" s="3"/>
      <c r="X21" s="5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</row>
    <row r="22" spans="1:75" s="36" customFormat="1" ht="18.75" customHeight="1">
      <c r="A22" s="5"/>
      <c r="B22" s="5"/>
      <c r="C22" s="5"/>
      <c r="D22" s="39"/>
      <c r="E22" s="40"/>
      <c r="F22" s="39"/>
      <c r="G22" s="5"/>
      <c r="H22" s="5"/>
      <c r="I22" s="3"/>
      <c r="J22" s="3"/>
      <c r="K22" s="3"/>
      <c r="L22" s="3"/>
      <c r="M22" s="41"/>
      <c r="N22" s="5"/>
      <c r="O22" s="42"/>
      <c r="P22" s="8"/>
      <c r="Q22" s="8"/>
      <c r="R22" s="5"/>
      <c r="S22" s="5"/>
      <c r="T22" s="3"/>
      <c r="U22" s="3"/>
      <c r="V22" s="3"/>
      <c r="W22" s="3"/>
      <c r="X22" s="5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</row>
    <row r="23" spans="1:75" s="36" customFormat="1" ht="18.75" customHeight="1">
      <c r="A23" s="5"/>
      <c r="B23" s="5"/>
      <c r="C23" s="5"/>
      <c r="D23" s="39"/>
      <c r="E23" s="40"/>
      <c r="F23" s="39"/>
      <c r="G23" s="5"/>
      <c r="H23" s="5"/>
      <c r="I23" s="3"/>
      <c r="J23" s="3"/>
      <c r="K23" s="3"/>
      <c r="L23" s="3"/>
      <c r="M23" s="41"/>
      <c r="N23" s="5"/>
      <c r="O23" s="5"/>
      <c r="P23" s="8"/>
      <c r="Q23" s="8"/>
      <c r="R23" s="5"/>
      <c r="S23" s="5"/>
      <c r="T23" s="3"/>
      <c r="U23" s="3"/>
      <c r="V23" s="3"/>
      <c r="W23" s="3"/>
      <c r="X23" s="5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</row>
    <row r="24" spans="1:75" s="36" customFormat="1" ht="18.75" customHeight="1">
      <c r="A24" s="5"/>
      <c r="B24" s="5"/>
      <c r="C24" s="5"/>
      <c r="D24" s="39"/>
      <c r="E24" s="40"/>
      <c r="F24" s="39"/>
      <c r="G24" s="5"/>
      <c r="H24" s="5"/>
      <c r="I24" s="3"/>
      <c r="J24" s="3"/>
      <c r="K24" s="3"/>
      <c r="L24" s="3"/>
      <c r="M24" s="41"/>
      <c r="N24" s="5"/>
      <c r="O24" s="42"/>
      <c r="P24" s="8"/>
      <c r="Q24" s="8"/>
      <c r="R24" s="5"/>
      <c r="S24" s="5"/>
      <c r="T24" s="3"/>
      <c r="U24" s="3"/>
      <c r="V24" s="3"/>
      <c r="W24" s="3"/>
      <c r="X24" s="5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</row>
    <row r="25" spans="1:75" s="36" customFormat="1" ht="18.75" customHeight="1">
      <c r="A25" s="5"/>
      <c r="B25" s="5"/>
      <c r="C25" s="5"/>
      <c r="D25" s="39"/>
      <c r="E25" s="40"/>
      <c r="F25" s="39"/>
      <c r="G25" s="5"/>
      <c r="H25" s="5"/>
      <c r="I25" s="3"/>
      <c r="J25" s="3"/>
      <c r="K25" s="3"/>
      <c r="L25" s="3"/>
      <c r="M25" s="41"/>
      <c r="N25" s="5"/>
      <c r="O25" s="42"/>
      <c r="P25" s="8"/>
      <c r="Q25" s="8"/>
      <c r="R25" s="5"/>
      <c r="S25" s="5"/>
      <c r="T25" s="3"/>
      <c r="U25" s="3"/>
      <c r="V25" s="3"/>
      <c r="W25" s="3"/>
      <c r="X25" s="5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</row>
    <row r="26" spans="1:75" s="36" customFormat="1" ht="18.75" customHeight="1">
      <c r="A26" s="5"/>
      <c r="B26" s="5"/>
      <c r="C26" s="5"/>
      <c r="D26" s="39"/>
      <c r="E26" s="40"/>
      <c r="F26" s="39"/>
      <c r="G26" s="5"/>
      <c r="H26" s="5"/>
      <c r="I26" s="3"/>
      <c r="J26" s="3"/>
      <c r="K26" s="3"/>
      <c r="L26" s="3"/>
      <c r="M26" s="41"/>
      <c r="N26" s="5"/>
      <c r="O26" s="42"/>
      <c r="P26" s="8"/>
      <c r="Q26" s="8"/>
      <c r="R26" s="5"/>
      <c r="S26" s="5"/>
      <c r="T26" s="3"/>
      <c r="U26" s="3"/>
      <c r="V26" s="3"/>
      <c r="W26" s="3"/>
      <c r="X26" s="5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</row>
    <row r="27" spans="1:75" s="36" customFormat="1" ht="18.75" customHeight="1">
      <c r="A27" s="5"/>
      <c r="B27" s="5"/>
      <c r="C27" s="5"/>
      <c r="D27" s="39"/>
      <c r="E27" s="40"/>
      <c r="F27" s="39"/>
      <c r="G27" s="5"/>
      <c r="H27" s="5"/>
      <c r="I27" s="3"/>
      <c r="J27" s="3"/>
      <c r="K27" s="3"/>
      <c r="L27" s="3"/>
      <c r="M27" s="41"/>
      <c r="N27" s="5"/>
      <c r="O27" s="42"/>
      <c r="P27" s="8"/>
      <c r="Q27" s="8"/>
      <c r="R27" s="5"/>
      <c r="S27" s="5"/>
      <c r="T27" s="3"/>
      <c r="U27" s="3"/>
      <c r="V27" s="3"/>
      <c r="W27" s="3"/>
      <c r="X27" s="5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</row>
    <row r="28" spans="1:75" s="36" customFormat="1" ht="18.75" customHeight="1">
      <c r="A28" s="5"/>
      <c r="B28" s="5"/>
      <c r="C28" s="5"/>
      <c r="D28" s="39"/>
      <c r="E28" s="40"/>
      <c r="F28" s="39"/>
      <c r="G28" s="5"/>
      <c r="H28" s="5"/>
      <c r="I28" s="3"/>
      <c r="J28" s="3"/>
      <c r="K28" s="3"/>
      <c r="L28" s="3"/>
      <c r="M28" s="41"/>
      <c r="N28" s="5"/>
      <c r="O28" s="42"/>
      <c r="P28" s="8"/>
      <c r="Q28" s="8"/>
      <c r="R28" s="5"/>
      <c r="S28" s="5"/>
      <c r="T28" s="3"/>
      <c r="U28" s="3"/>
      <c r="V28" s="3"/>
      <c r="W28" s="3"/>
      <c r="X28" s="5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</row>
    <row r="29" spans="1:75" s="36" customFormat="1" ht="18.75" customHeight="1">
      <c r="A29" s="5"/>
      <c r="B29" s="5"/>
      <c r="C29" s="5"/>
      <c r="D29" s="39"/>
      <c r="E29" s="40"/>
      <c r="F29" s="39"/>
      <c r="G29" s="5"/>
      <c r="H29" s="5"/>
      <c r="I29" s="3"/>
      <c r="J29" s="3"/>
      <c r="K29" s="3"/>
      <c r="L29" s="3"/>
      <c r="M29" s="41"/>
      <c r="N29" s="5"/>
      <c r="O29" s="42"/>
      <c r="P29" s="8"/>
      <c r="Q29" s="8"/>
      <c r="R29" s="5"/>
      <c r="S29" s="5"/>
      <c r="T29" s="3"/>
      <c r="U29" s="3"/>
      <c r="V29" s="3"/>
      <c r="W29" s="3"/>
      <c r="X29" s="5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</row>
    <row r="30" spans="1:75" s="36" customFormat="1" ht="18.75" customHeight="1">
      <c r="A30" s="5"/>
      <c r="B30" s="5"/>
      <c r="C30" s="5"/>
      <c r="D30" s="39"/>
      <c r="E30" s="40"/>
      <c r="F30" s="39"/>
      <c r="G30" s="5"/>
      <c r="H30" s="5"/>
      <c r="I30" s="3"/>
      <c r="J30" s="3"/>
      <c r="K30" s="3"/>
      <c r="L30" s="3"/>
      <c r="M30" s="41"/>
      <c r="N30" s="5"/>
      <c r="O30" s="42"/>
      <c r="P30" s="8"/>
      <c r="Q30" s="8"/>
      <c r="R30" s="5"/>
      <c r="S30" s="5"/>
      <c r="T30" s="3"/>
      <c r="U30" s="3"/>
      <c r="V30" s="3"/>
      <c r="W30" s="3"/>
      <c r="X30" s="5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</row>
    <row r="31" spans="1:75" s="36" customFormat="1" ht="18.75" customHeight="1">
      <c r="A31" s="5"/>
      <c r="B31" s="5"/>
      <c r="C31" s="5"/>
      <c r="D31" s="39"/>
      <c r="E31" s="40"/>
      <c r="F31" s="39"/>
      <c r="G31" s="5"/>
      <c r="H31" s="5"/>
      <c r="I31" s="3"/>
      <c r="J31" s="3"/>
      <c r="K31" s="3"/>
      <c r="L31" s="3"/>
      <c r="M31" s="41"/>
      <c r="N31" s="5"/>
      <c r="O31" s="42"/>
      <c r="P31" s="8"/>
      <c r="Q31" s="8"/>
      <c r="R31" s="5"/>
      <c r="S31" s="5"/>
      <c r="T31" s="3"/>
      <c r="U31" s="3"/>
      <c r="V31" s="3"/>
      <c r="W31" s="3"/>
      <c r="X31" s="5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</row>
    <row r="32" spans="1:75" s="50" customFormat="1" ht="18.75" customHeight="1">
      <c r="A32" s="5"/>
      <c r="B32" s="5"/>
      <c r="C32" s="5"/>
      <c r="D32" s="40"/>
      <c r="E32" s="40"/>
      <c r="F32" s="40"/>
      <c r="G32" s="5"/>
      <c r="H32" s="5"/>
      <c r="I32" s="5"/>
      <c r="J32" s="5"/>
      <c r="K32" s="5"/>
      <c r="L32" s="5"/>
      <c r="M32" s="47"/>
      <c r="N32" s="5"/>
      <c r="O32" s="5"/>
      <c r="P32" s="48"/>
      <c r="Q32" s="48"/>
      <c r="R32" s="5"/>
      <c r="S32" s="5"/>
      <c r="T32" s="5"/>
      <c r="U32" s="5"/>
      <c r="V32" s="5"/>
      <c r="W32" s="5"/>
      <c r="X32" s="5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</row>
    <row r="33" spans="1:75" s="36" customFormat="1" ht="18.75" customHeight="1">
      <c r="A33" s="5"/>
      <c r="B33" s="5"/>
      <c r="C33" s="5"/>
      <c r="D33" s="39"/>
      <c r="E33" s="40"/>
      <c r="F33" s="39"/>
      <c r="G33" s="5"/>
      <c r="H33" s="5"/>
      <c r="I33" s="3"/>
      <c r="J33" s="3"/>
      <c r="K33" s="3"/>
      <c r="L33" s="3"/>
      <c r="M33" s="41"/>
      <c r="N33" s="5"/>
      <c r="O33" s="42"/>
      <c r="P33" s="8"/>
      <c r="Q33" s="8"/>
      <c r="R33" s="5"/>
      <c r="S33" s="5"/>
      <c r="T33" s="3"/>
      <c r="U33" s="3"/>
      <c r="V33" s="3"/>
      <c r="W33" s="3"/>
      <c r="X33" s="5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</row>
    <row r="34" spans="1:75" s="36" customFormat="1" ht="18.75" customHeight="1">
      <c r="A34" s="5"/>
      <c r="B34" s="5"/>
      <c r="C34" s="5"/>
      <c r="D34" s="39"/>
      <c r="E34" s="40"/>
      <c r="F34" s="39"/>
      <c r="G34" s="5"/>
      <c r="H34" s="5"/>
      <c r="I34" s="3"/>
      <c r="J34" s="3"/>
      <c r="K34" s="3"/>
      <c r="L34" s="3"/>
      <c r="M34" s="41"/>
      <c r="N34" s="5"/>
      <c r="O34" s="42"/>
      <c r="P34" s="8"/>
      <c r="Q34" s="8"/>
      <c r="R34" s="5"/>
      <c r="S34" s="5"/>
      <c r="T34" s="3"/>
      <c r="U34" s="3"/>
      <c r="V34" s="3"/>
      <c r="W34" s="3"/>
      <c r="X34" s="5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</row>
    <row r="35" spans="1:75" s="36" customFormat="1" ht="18.75" customHeight="1">
      <c r="A35" s="5"/>
      <c r="B35" s="5"/>
      <c r="C35" s="5"/>
      <c r="D35" s="39"/>
      <c r="E35" s="40"/>
      <c r="F35" s="39"/>
      <c r="G35" s="5"/>
      <c r="H35" s="5"/>
      <c r="I35" s="3"/>
      <c r="J35" s="3"/>
      <c r="K35" s="3"/>
      <c r="L35" s="3"/>
      <c r="M35" s="41"/>
      <c r="N35" s="5"/>
      <c r="O35" s="3"/>
      <c r="P35" s="8"/>
      <c r="Q35" s="8"/>
      <c r="R35" s="5"/>
      <c r="S35" s="5"/>
      <c r="T35" s="3"/>
      <c r="U35" s="3"/>
      <c r="V35" s="3"/>
      <c r="W35" s="3"/>
      <c r="X35" s="5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</row>
    <row r="36" spans="1:75" s="36" customFormat="1" ht="18.75" customHeight="1">
      <c r="A36" s="5"/>
      <c r="B36" s="5"/>
      <c r="C36" s="5"/>
      <c r="D36" s="39"/>
      <c r="E36" s="40"/>
      <c r="F36" s="39"/>
      <c r="G36" s="5"/>
      <c r="H36" s="5"/>
      <c r="I36" s="3"/>
      <c r="J36" s="3"/>
      <c r="K36" s="3"/>
      <c r="L36" s="3"/>
      <c r="M36" s="41"/>
      <c r="N36" s="5"/>
      <c r="O36" s="3"/>
      <c r="P36" s="8"/>
      <c r="Q36" s="8"/>
      <c r="R36" s="5"/>
      <c r="S36" s="5"/>
      <c r="T36" s="3"/>
      <c r="U36" s="3"/>
      <c r="V36" s="3"/>
      <c r="W36" s="3"/>
      <c r="X36" s="5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</row>
    <row r="37" spans="1:75" s="36" customFormat="1" ht="18.75" customHeight="1">
      <c r="A37" s="5"/>
      <c r="B37" s="5"/>
      <c r="C37" s="5"/>
      <c r="D37" s="39"/>
      <c r="E37" s="40"/>
      <c r="F37" s="39"/>
      <c r="G37" s="5"/>
      <c r="H37" s="3"/>
      <c r="I37" s="3"/>
      <c r="J37" s="3"/>
      <c r="K37" s="3"/>
      <c r="L37" s="46"/>
      <c r="M37" s="47"/>
      <c r="N37" s="51"/>
      <c r="O37" s="8"/>
      <c r="P37" s="8"/>
      <c r="Q37" s="8"/>
      <c r="R37" s="3"/>
      <c r="S37" s="3"/>
      <c r="T37" s="3"/>
      <c r="U37" s="3"/>
      <c r="V37" s="5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</row>
    <row r="38" spans="1:75" s="36" customFormat="1" ht="18.75" customHeight="1">
      <c r="A38" s="5"/>
      <c r="B38" s="5"/>
      <c r="C38" s="5"/>
      <c r="D38" s="39"/>
      <c r="E38" s="40"/>
      <c r="F38" s="39"/>
      <c r="G38" s="5"/>
      <c r="H38" s="3"/>
      <c r="I38" s="3"/>
      <c r="J38" s="3"/>
      <c r="K38" s="3"/>
      <c r="L38" s="46"/>
      <c r="M38" s="47"/>
      <c r="N38" s="51"/>
      <c r="O38" s="8"/>
      <c r="P38" s="8"/>
      <c r="Q38" s="8"/>
      <c r="R38" s="3"/>
      <c r="S38" s="3"/>
      <c r="T38" s="3"/>
      <c r="U38" s="3"/>
      <c r="V38" s="5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</row>
    <row r="39" spans="1:75" s="36" customFormat="1" ht="18.75" customHeight="1">
      <c r="A39" s="5"/>
      <c r="B39" s="5"/>
      <c r="C39" s="5"/>
      <c r="D39" s="39"/>
      <c r="E39" s="40"/>
      <c r="F39" s="39"/>
      <c r="G39" s="5"/>
      <c r="H39" s="3"/>
      <c r="I39" s="3"/>
      <c r="J39" s="3"/>
      <c r="K39" s="3"/>
      <c r="L39" s="46"/>
      <c r="M39" s="47"/>
      <c r="N39" s="51"/>
      <c r="O39" s="8"/>
      <c r="P39" s="8"/>
      <c r="Q39" s="8"/>
      <c r="R39" s="3"/>
      <c r="S39" s="3"/>
      <c r="T39" s="3"/>
      <c r="U39" s="3"/>
      <c r="V39" s="5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</row>
    <row r="40" spans="1:75" s="36" customFormat="1" ht="18.75" customHeight="1">
      <c r="A40" s="5"/>
      <c r="B40" s="5"/>
      <c r="C40" s="5"/>
      <c r="D40" s="39"/>
      <c r="E40" s="40"/>
      <c r="F40" s="39"/>
      <c r="G40" s="5"/>
      <c r="H40" s="3"/>
      <c r="I40" s="3"/>
      <c r="J40" s="3"/>
      <c r="K40" s="3"/>
      <c r="L40" s="46"/>
      <c r="M40" s="47"/>
      <c r="N40" s="51"/>
      <c r="O40" s="8"/>
      <c r="P40" s="8"/>
      <c r="Q40" s="8"/>
      <c r="R40" s="3"/>
      <c r="S40" s="3"/>
      <c r="T40" s="3"/>
      <c r="U40" s="3"/>
      <c r="V40" s="5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</row>
    <row r="41" spans="1:75" s="36" customFormat="1" ht="18.75" customHeight="1">
      <c r="A41" s="5"/>
      <c r="B41" s="5"/>
      <c r="C41" s="5"/>
      <c r="D41" s="39"/>
      <c r="E41" s="40"/>
      <c r="F41" s="39"/>
      <c r="G41" s="5"/>
      <c r="H41" s="3"/>
      <c r="I41" s="3"/>
      <c r="J41" s="3"/>
      <c r="K41" s="3"/>
      <c r="L41" s="46"/>
      <c r="M41" s="47"/>
      <c r="N41" s="51"/>
      <c r="O41" s="8"/>
      <c r="P41" s="8"/>
      <c r="Q41" s="8"/>
      <c r="R41" s="3"/>
      <c r="S41" s="3"/>
      <c r="T41" s="3"/>
      <c r="U41" s="3"/>
      <c r="V41" s="5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</row>
    <row r="42" spans="1:75" s="36" customFormat="1" ht="18.75" customHeight="1">
      <c r="A42" s="5"/>
      <c r="B42" s="5"/>
      <c r="C42" s="5"/>
      <c r="D42" s="39"/>
      <c r="E42" s="40"/>
      <c r="F42" s="39"/>
      <c r="G42" s="5"/>
      <c r="H42" s="3"/>
      <c r="I42" s="3"/>
      <c r="J42" s="3"/>
      <c r="K42" s="3"/>
      <c r="L42" s="46"/>
      <c r="M42" s="47"/>
      <c r="N42" s="51"/>
      <c r="O42" s="8"/>
      <c r="P42" s="8"/>
      <c r="Q42" s="8"/>
      <c r="R42" s="3"/>
      <c r="S42" s="3"/>
      <c r="T42" s="3"/>
      <c r="U42" s="3"/>
      <c r="V42" s="5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</row>
    <row r="43" spans="1:75" s="36" customFormat="1" ht="18.75" customHeight="1">
      <c r="A43" s="5"/>
      <c r="B43" s="5"/>
      <c r="C43" s="5"/>
      <c r="D43" s="39"/>
      <c r="E43" s="40"/>
      <c r="F43" s="39"/>
      <c r="G43" s="5"/>
      <c r="H43" s="5"/>
      <c r="I43" s="3"/>
      <c r="J43" s="3"/>
      <c r="K43" s="3"/>
      <c r="L43" s="3"/>
      <c r="M43" s="41"/>
      <c r="N43" s="51"/>
      <c r="O43" s="42"/>
      <c r="P43" s="8"/>
      <c r="Q43" s="8"/>
      <c r="R43" s="5"/>
      <c r="S43" s="5"/>
      <c r="T43" s="3"/>
      <c r="U43" s="3"/>
      <c r="V43" s="3"/>
      <c r="W43" s="3"/>
      <c r="X43" s="5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</row>
    <row r="44" spans="1:75" s="36" customFormat="1" ht="18.75" customHeight="1">
      <c r="A44" s="5"/>
      <c r="B44" s="5"/>
      <c r="C44" s="5"/>
      <c r="D44" s="39"/>
      <c r="E44" s="40"/>
      <c r="F44" s="39"/>
      <c r="G44" s="5"/>
      <c r="H44" s="5"/>
      <c r="I44" s="3"/>
      <c r="J44" s="3"/>
      <c r="K44" s="3"/>
      <c r="L44" s="3"/>
      <c r="M44" s="41"/>
      <c r="N44" s="51"/>
      <c r="O44" s="3"/>
      <c r="P44" s="8"/>
      <c r="Q44" s="8"/>
      <c r="R44" s="5"/>
      <c r="S44" s="5"/>
      <c r="T44" s="3"/>
      <c r="U44" s="3"/>
      <c r="V44" s="3"/>
      <c r="W44" s="3"/>
      <c r="X44" s="5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</row>
    <row r="45" spans="1:75" s="36" customFormat="1" ht="18.75" customHeight="1">
      <c r="A45" s="5"/>
      <c r="B45" s="5"/>
      <c r="C45" s="5"/>
      <c r="D45" s="39"/>
      <c r="E45" s="40"/>
      <c r="F45" s="39"/>
      <c r="G45" s="5"/>
      <c r="H45" s="5"/>
      <c r="I45" s="3"/>
      <c r="J45" s="3"/>
      <c r="K45" s="3"/>
      <c r="L45" s="3"/>
      <c r="M45" s="41"/>
      <c r="N45" s="51"/>
      <c r="O45" s="42"/>
      <c r="P45" s="8"/>
      <c r="Q45" s="8"/>
      <c r="R45" s="5"/>
      <c r="S45" s="5"/>
      <c r="T45" s="3"/>
      <c r="U45" s="3"/>
      <c r="V45" s="3"/>
      <c r="W45" s="3"/>
      <c r="X45" s="5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</row>
    <row r="46" spans="1:75" s="36" customFormat="1" ht="18.75" customHeight="1">
      <c r="A46" s="5"/>
      <c r="B46" s="5"/>
      <c r="C46" s="5"/>
      <c r="D46" s="39"/>
      <c r="E46" s="40"/>
      <c r="F46" s="39"/>
      <c r="G46" s="5"/>
      <c r="H46" s="5"/>
      <c r="I46" s="3"/>
      <c r="J46" s="3"/>
      <c r="K46" s="3"/>
      <c r="L46" s="3"/>
      <c r="M46" s="41"/>
      <c r="N46" s="51"/>
      <c r="O46" s="42"/>
      <c r="P46" s="8"/>
      <c r="Q46" s="8"/>
      <c r="R46" s="5"/>
      <c r="S46" s="5"/>
      <c r="T46" s="3"/>
      <c r="U46" s="3"/>
      <c r="V46" s="3"/>
      <c r="W46" s="3"/>
      <c r="X46" s="5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</row>
    <row r="47" spans="1:75" s="36" customFormat="1" ht="18.75" customHeight="1">
      <c r="A47" s="5"/>
      <c r="B47" s="5"/>
      <c r="C47" s="5"/>
      <c r="D47" s="39"/>
      <c r="E47" s="40"/>
      <c r="F47" s="39"/>
      <c r="G47" s="5"/>
      <c r="H47" s="5"/>
      <c r="I47" s="3"/>
      <c r="J47" s="3"/>
      <c r="K47" s="3"/>
      <c r="L47" s="3"/>
      <c r="M47" s="41"/>
      <c r="N47" s="51"/>
      <c r="O47" s="42"/>
      <c r="P47" s="8"/>
      <c r="Q47" s="8"/>
      <c r="R47" s="5"/>
      <c r="S47" s="5"/>
      <c r="T47" s="3"/>
      <c r="U47" s="3"/>
      <c r="V47" s="3"/>
      <c r="W47" s="3"/>
      <c r="X47" s="5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</row>
    <row r="48" spans="1:75" s="36" customFormat="1" ht="18.75" customHeight="1">
      <c r="A48" s="52"/>
      <c r="B48" s="5"/>
      <c r="C48" s="5"/>
      <c r="D48" s="39"/>
      <c r="E48" s="40"/>
      <c r="F48" s="39"/>
      <c r="G48" s="5"/>
      <c r="H48" s="5"/>
      <c r="I48" s="3"/>
      <c r="J48" s="3"/>
      <c r="K48" s="3"/>
      <c r="L48" s="3"/>
      <c r="M48" s="41"/>
      <c r="N48" s="51"/>
      <c r="O48" s="53"/>
      <c r="P48" s="8"/>
      <c r="Q48" s="8"/>
      <c r="R48" s="5"/>
      <c r="S48" s="5"/>
      <c r="T48" s="3"/>
      <c r="U48" s="3"/>
      <c r="V48" s="3"/>
      <c r="W48" s="3"/>
      <c r="X48" s="5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</row>
    <row r="49" spans="1:75" s="36" customFormat="1" ht="18.75" customHeight="1">
      <c r="A49" s="5"/>
      <c r="B49" s="5"/>
      <c r="C49" s="5"/>
      <c r="D49" s="39"/>
      <c r="E49" s="40"/>
      <c r="F49" s="39"/>
      <c r="G49" s="5"/>
      <c r="H49" s="5"/>
      <c r="I49" s="3"/>
      <c r="J49" s="3"/>
      <c r="K49" s="3"/>
      <c r="L49" s="3"/>
      <c r="M49" s="41"/>
      <c r="N49" s="51"/>
      <c r="O49" s="3"/>
      <c r="P49" s="8"/>
      <c r="Q49" s="8"/>
      <c r="R49" s="5"/>
      <c r="S49" s="5"/>
      <c r="T49" s="3"/>
      <c r="U49" s="3"/>
      <c r="V49" s="3"/>
      <c r="W49" s="3"/>
      <c r="X49" s="5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</row>
    <row r="50" spans="1:75" s="36" customFormat="1" ht="18.75" customHeight="1">
      <c r="A50" s="5"/>
      <c r="B50" s="5"/>
      <c r="C50" s="5"/>
      <c r="D50" s="39"/>
      <c r="E50" s="40"/>
      <c r="F50" s="39"/>
      <c r="G50" s="5"/>
      <c r="H50" s="5"/>
      <c r="I50" s="3"/>
      <c r="J50" s="3"/>
      <c r="K50" s="3"/>
      <c r="L50" s="3"/>
      <c r="M50" s="41"/>
      <c r="N50" s="51"/>
      <c r="O50" s="3"/>
      <c r="P50" s="8"/>
      <c r="Q50" s="8"/>
      <c r="R50" s="5"/>
      <c r="S50" s="5"/>
      <c r="T50" s="3"/>
      <c r="U50" s="3"/>
      <c r="V50" s="3"/>
      <c r="W50" s="3"/>
      <c r="X50" s="5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</row>
    <row r="51" spans="1:75" s="36" customFormat="1" ht="18.75" customHeight="1">
      <c r="A51" s="5"/>
      <c r="B51" s="5"/>
      <c r="C51" s="5"/>
      <c r="D51" s="39"/>
      <c r="E51" s="40"/>
      <c r="F51" s="39"/>
      <c r="G51" s="5"/>
      <c r="H51" s="5"/>
      <c r="I51" s="3"/>
      <c r="J51" s="3"/>
      <c r="K51" s="3"/>
      <c r="L51" s="3"/>
      <c r="M51" s="41"/>
      <c r="N51" s="51"/>
      <c r="O51" s="54"/>
      <c r="P51" s="8"/>
      <c r="Q51" s="8"/>
      <c r="R51" s="5"/>
      <c r="S51" s="5"/>
      <c r="T51" s="3"/>
      <c r="U51" s="3"/>
      <c r="V51" s="3"/>
      <c r="W51" s="3"/>
      <c r="X51" s="5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</row>
    <row r="52" spans="1:75" s="36" customFormat="1" ht="18.75" customHeight="1">
      <c r="A52" s="55"/>
      <c r="B52" s="5"/>
      <c r="C52" s="5"/>
      <c r="D52" s="39"/>
      <c r="E52" s="40"/>
      <c r="F52" s="39"/>
      <c r="G52" s="5"/>
      <c r="H52" s="5"/>
      <c r="I52" s="3"/>
      <c r="J52" s="3"/>
      <c r="K52" s="3"/>
      <c r="L52" s="3"/>
      <c r="M52" s="41"/>
      <c r="N52" s="51"/>
      <c r="O52" s="54"/>
      <c r="P52" s="8"/>
      <c r="Q52" s="8"/>
      <c r="R52" s="5"/>
      <c r="S52" s="5"/>
      <c r="T52" s="3"/>
      <c r="U52" s="3"/>
      <c r="V52" s="3"/>
      <c r="W52" s="3"/>
      <c r="X52" s="5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</row>
    <row r="53" spans="1:75" s="36" customFormat="1" ht="18.75" customHeight="1">
      <c r="A53" s="5"/>
      <c r="B53" s="5"/>
      <c r="C53" s="5"/>
      <c r="D53" s="39"/>
      <c r="E53" s="40"/>
      <c r="F53" s="39"/>
      <c r="G53" s="5"/>
      <c r="H53" s="5"/>
      <c r="I53" s="3"/>
      <c r="J53" s="3"/>
      <c r="K53" s="3"/>
      <c r="L53" s="3"/>
      <c r="M53" s="41"/>
      <c r="N53" s="51"/>
      <c r="O53" s="42"/>
      <c r="P53" s="8"/>
      <c r="Q53" s="8"/>
      <c r="R53" s="5"/>
      <c r="S53" s="5"/>
      <c r="T53" s="3"/>
      <c r="U53" s="3"/>
      <c r="V53" s="3"/>
      <c r="W53" s="3"/>
      <c r="X53" s="5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</row>
    <row r="54" spans="1:75" s="36" customFormat="1" ht="18.75" customHeight="1">
      <c r="A54" s="55"/>
      <c r="B54" s="5"/>
      <c r="C54" s="5"/>
      <c r="D54" s="39"/>
      <c r="E54" s="40"/>
      <c r="F54" s="39"/>
      <c r="G54" s="5"/>
      <c r="H54" s="5"/>
      <c r="I54" s="3"/>
      <c r="J54" s="3"/>
      <c r="K54" s="3"/>
      <c r="L54" s="3"/>
      <c r="M54" s="41"/>
      <c r="N54" s="51"/>
      <c r="O54" s="42"/>
      <c r="P54" s="8"/>
      <c r="Q54" s="8"/>
      <c r="R54" s="5"/>
      <c r="S54" s="5"/>
      <c r="T54" s="3"/>
      <c r="U54" s="3"/>
      <c r="V54" s="3"/>
      <c r="W54" s="3"/>
      <c r="X54" s="5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</row>
    <row r="55" spans="1:75" s="36" customFormat="1" ht="18.75" customHeight="1">
      <c r="A55" s="5"/>
      <c r="B55" s="5"/>
      <c r="C55" s="5"/>
      <c r="D55" s="39"/>
      <c r="E55" s="40"/>
      <c r="F55" s="39"/>
      <c r="G55" s="5"/>
      <c r="H55" s="5"/>
      <c r="I55" s="3"/>
      <c r="J55" s="3"/>
      <c r="K55" s="3"/>
      <c r="L55" s="3"/>
      <c r="M55" s="41"/>
      <c r="N55" s="51"/>
      <c r="O55" s="54"/>
      <c r="P55" s="8"/>
      <c r="Q55" s="8"/>
      <c r="R55" s="5"/>
      <c r="S55" s="5"/>
      <c r="T55" s="3"/>
      <c r="U55" s="3"/>
      <c r="V55" s="3"/>
      <c r="W55" s="3"/>
      <c r="X55" s="5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</row>
    <row r="56" spans="1:75" s="36" customFormat="1" ht="18.75" customHeight="1">
      <c r="A56" s="5"/>
      <c r="B56" s="5"/>
      <c r="C56" s="5"/>
      <c r="D56" s="39"/>
      <c r="E56" s="40"/>
      <c r="F56" s="39"/>
      <c r="G56" s="5"/>
      <c r="H56" s="5"/>
      <c r="I56" s="3"/>
      <c r="J56" s="3"/>
      <c r="K56" s="3"/>
      <c r="L56" s="3"/>
      <c r="M56" s="41"/>
      <c r="N56" s="51"/>
      <c r="O56" s="54"/>
      <c r="P56" s="8"/>
      <c r="Q56" s="8"/>
      <c r="R56" s="5"/>
      <c r="S56" s="5"/>
      <c r="T56" s="3"/>
      <c r="U56" s="3"/>
      <c r="V56" s="3"/>
      <c r="W56" s="3"/>
      <c r="X56" s="5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</row>
    <row r="57" spans="1:75" s="36" customFormat="1" ht="18.75" customHeight="1">
      <c r="A57" s="5"/>
      <c r="B57" s="5"/>
      <c r="C57" s="5"/>
      <c r="D57" s="39"/>
      <c r="E57" s="40"/>
      <c r="F57" s="39"/>
      <c r="G57" s="5"/>
      <c r="H57" s="5"/>
      <c r="I57" s="3"/>
      <c r="J57" s="3"/>
      <c r="K57" s="3"/>
      <c r="L57" s="3"/>
      <c r="M57" s="41"/>
      <c r="N57" s="51"/>
      <c r="O57" s="54"/>
      <c r="P57" s="8"/>
      <c r="Q57" s="8"/>
      <c r="R57" s="5"/>
      <c r="S57" s="5"/>
      <c r="T57" s="3"/>
      <c r="U57" s="3"/>
      <c r="V57" s="3"/>
      <c r="W57" s="3"/>
      <c r="X57" s="5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</row>
    <row r="58" spans="1:75" s="36" customFormat="1" ht="18.75" customHeight="1">
      <c r="A58" s="5"/>
      <c r="B58" s="5"/>
      <c r="C58" s="5"/>
      <c r="D58" s="39"/>
      <c r="E58" s="40"/>
      <c r="F58" s="39"/>
      <c r="G58" s="5"/>
      <c r="H58" s="5"/>
      <c r="I58" s="3"/>
      <c r="J58" s="3"/>
      <c r="K58" s="3"/>
      <c r="L58" s="3"/>
      <c r="M58" s="41"/>
      <c r="N58" s="51"/>
      <c r="O58" s="54"/>
      <c r="P58" s="8"/>
      <c r="Q58" s="8"/>
      <c r="R58" s="5"/>
      <c r="S58" s="5"/>
      <c r="T58" s="3"/>
      <c r="U58" s="3"/>
      <c r="V58" s="3"/>
      <c r="W58" s="3"/>
      <c r="X58" s="5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</row>
    <row r="59" spans="1:75" s="36" customFormat="1" ht="18.75" customHeight="1">
      <c r="A59" s="5"/>
      <c r="B59" s="5"/>
      <c r="C59" s="5"/>
      <c r="D59" s="39"/>
      <c r="E59" s="40"/>
      <c r="F59" s="39"/>
      <c r="G59" s="5"/>
      <c r="H59" s="5"/>
      <c r="I59" s="3"/>
      <c r="J59" s="3"/>
      <c r="K59" s="3"/>
      <c r="L59" s="3"/>
      <c r="M59" s="41"/>
      <c r="N59" s="51"/>
      <c r="O59" s="54"/>
      <c r="P59" s="8"/>
      <c r="Q59" s="8"/>
      <c r="R59" s="5"/>
      <c r="S59" s="5"/>
      <c r="T59" s="3"/>
      <c r="U59" s="3"/>
      <c r="V59" s="3"/>
      <c r="W59" s="3"/>
      <c r="X59" s="5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</row>
    <row r="60" spans="1:75" s="36" customFormat="1" ht="18.75" customHeight="1">
      <c r="A60" s="5"/>
      <c r="B60" s="5"/>
      <c r="C60" s="5"/>
      <c r="D60" s="39"/>
      <c r="E60" s="40"/>
      <c r="F60" s="39"/>
      <c r="G60" s="5"/>
      <c r="H60" s="5"/>
      <c r="I60" s="3"/>
      <c r="J60" s="3"/>
      <c r="K60" s="3"/>
      <c r="L60" s="3"/>
      <c r="M60" s="41"/>
      <c r="N60" s="5"/>
      <c r="O60" s="42"/>
      <c r="P60" s="8"/>
      <c r="Q60" s="8"/>
      <c r="R60" s="5"/>
      <c r="S60" s="5"/>
      <c r="T60" s="3"/>
      <c r="U60" s="3"/>
      <c r="V60" s="3"/>
      <c r="W60" s="3"/>
      <c r="X60" s="5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</row>
    <row r="61" spans="1:75" s="36" customFormat="1" ht="18.75" customHeight="1">
      <c r="A61" s="5"/>
      <c r="B61" s="5"/>
      <c r="C61" s="5"/>
      <c r="D61" s="39"/>
      <c r="E61" s="40"/>
      <c r="F61" s="39"/>
      <c r="G61" s="5"/>
      <c r="H61" s="5"/>
      <c r="I61" s="3"/>
      <c r="J61" s="3"/>
      <c r="K61" s="3"/>
      <c r="L61" s="3"/>
      <c r="M61" s="41"/>
      <c r="N61" s="5"/>
      <c r="O61" s="42"/>
      <c r="P61" s="8"/>
      <c r="Q61" s="8"/>
      <c r="R61" s="5"/>
      <c r="S61" s="5"/>
      <c r="T61" s="3"/>
      <c r="U61" s="3"/>
      <c r="V61" s="3"/>
      <c r="W61" s="3"/>
      <c r="X61" s="5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</row>
    <row r="62" spans="1:75" s="36" customFormat="1" ht="18.75" customHeight="1">
      <c r="A62" s="5"/>
      <c r="B62" s="5"/>
      <c r="C62" s="5"/>
      <c r="D62" s="39"/>
      <c r="E62" s="40"/>
      <c r="F62" s="39"/>
      <c r="G62" s="5"/>
      <c r="H62" s="5"/>
      <c r="I62" s="3"/>
      <c r="J62" s="3"/>
      <c r="K62" s="3"/>
      <c r="L62" s="3"/>
      <c r="M62" s="41"/>
      <c r="N62" s="5"/>
      <c r="O62" s="42"/>
      <c r="P62" s="8"/>
      <c r="Q62" s="8"/>
      <c r="R62" s="5"/>
      <c r="S62" s="5"/>
      <c r="T62" s="3"/>
      <c r="U62" s="3"/>
      <c r="V62" s="3"/>
      <c r="W62" s="3"/>
      <c r="X62" s="5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</row>
    <row r="63" spans="1:75" s="36" customFormat="1" ht="18.75" customHeight="1">
      <c r="A63" s="5"/>
      <c r="B63" s="5"/>
      <c r="C63" s="5"/>
      <c r="D63" s="39"/>
      <c r="E63" s="40"/>
      <c r="F63" s="39"/>
      <c r="G63" s="5"/>
      <c r="H63" s="5"/>
      <c r="I63" s="3"/>
      <c r="J63" s="3"/>
      <c r="K63" s="3"/>
      <c r="L63" s="3"/>
      <c r="M63" s="41"/>
      <c r="N63" s="5"/>
      <c r="O63" s="42"/>
      <c r="P63" s="8"/>
      <c r="Q63" s="8"/>
      <c r="R63" s="5"/>
      <c r="S63" s="5"/>
      <c r="T63" s="3"/>
      <c r="U63" s="3"/>
      <c r="V63" s="3"/>
      <c r="W63" s="3"/>
      <c r="X63" s="5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</row>
    <row r="64" spans="1:75" s="36" customFormat="1" ht="18.75" customHeight="1">
      <c r="A64" s="5"/>
      <c r="B64" s="5"/>
      <c r="C64" s="5"/>
      <c r="D64" s="39"/>
      <c r="E64" s="40"/>
      <c r="F64" s="39"/>
      <c r="G64" s="5"/>
      <c r="H64" s="5"/>
      <c r="I64" s="3"/>
      <c r="J64" s="3"/>
      <c r="K64" s="3"/>
      <c r="L64" s="3"/>
      <c r="M64" s="41"/>
      <c r="N64" s="5"/>
      <c r="O64" s="42"/>
      <c r="P64" s="8"/>
      <c r="Q64" s="8"/>
      <c r="R64" s="5"/>
      <c r="S64" s="5"/>
      <c r="T64" s="3"/>
      <c r="U64" s="3"/>
      <c r="V64" s="3"/>
      <c r="W64" s="3"/>
      <c r="X64" s="5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</row>
    <row r="65" spans="1:75" s="36" customFormat="1" ht="18.75" customHeight="1">
      <c r="A65" s="5"/>
      <c r="B65" s="5"/>
      <c r="C65" s="5"/>
      <c r="D65" s="39"/>
      <c r="E65" s="40"/>
      <c r="F65" s="39"/>
      <c r="G65" s="5"/>
      <c r="H65" s="5"/>
      <c r="I65" s="3"/>
      <c r="J65" s="3"/>
      <c r="K65" s="3"/>
      <c r="L65" s="3"/>
      <c r="M65" s="41"/>
      <c r="N65" s="5"/>
      <c r="O65" s="42"/>
      <c r="P65" s="8"/>
      <c r="Q65" s="8"/>
      <c r="R65" s="5"/>
      <c r="S65" s="5"/>
      <c r="T65" s="3"/>
      <c r="U65" s="3"/>
      <c r="V65" s="3"/>
      <c r="W65" s="3"/>
      <c r="X65" s="5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</row>
    <row r="66" spans="1:75" s="36" customFormat="1" ht="18.75" customHeight="1">
      <c r="A66" s="5"/>
      <c r="B66" s="5"/>
      <c r="C66" s="5"/>
      <c r="D66" s="39"/>
      <c r="E66" s="40"/>
      <c r="F66" s="39"/>
      <c r="G66" s="5"/>
      <c r="H66" s="5"/>
      <c r="I66" s="3"/>
      <c r="J66" s="3"/>
      <c r="K66" s="3"/>
      <c r="L66" s="3"/>
      <c r="M66" s="41"/>
      <c r="N66" s="5"/>
      <c r="O66" s="42"/>
      <c r="P66" s="8"/>
      <c r="Q66" s="8"/>
      <c r="R66" s="5"/>
      <c r="S66" s="5"/>
      <c r="T66" s="3"/>
      <c r="U66" s="3"/>
      <c r="V66" s="3"/>
      <c r="W66" s="3"/>
      <c r="X66" s="5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</row>
    <row r="67" spans="1:75" s="36" customFormat="1" ht="18.75" customHeight="1">
      <c r="A67" s="5"/>
      <c r="B67" s="5"/>
      <c r="C67" s="5"/>
      <c r="D67" s="39"/>
      <c r="E67" s="40"/>
      <c r="F67" s="39"/>
      <c r="G67" s="5"/>
      <c r="H67" s="5"/>
      <c r="I67" s="3"/>
      <c r="J67" s="3"/>
      <c r="K67" s="3"/>
      <c r="L67" s="3"/>
      <c r="M67" s="41"/>
      <c r="N67" s="5"/>
      <c r="O67" s="42"/>
      <c r="P67" s="8"/>
      <c r="Q67" s="8"/>
      <c r="R67" s="5"/>
      <c r="S67" s="5"/>
      <c r="T67" s="3"/>
      <c r="U67" s="3"/>
      <c r="V67" s="3"/>
      <c r="W67" s="3"/>
      <c r="X67" s="5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</row>
    <row r="68" spans="1:75" s="36" customFormat="1" ht="18.75" customHeight="1">
      <c r="A68" s="5"/>
      <c r="B68" s="5"/>
      <c r="C68" s="5"/>
      <c r="D68" s="39"/>
      <c r="E68" s="40"/>
      <c r="F68" s="39"/>
      <c r="G68" s="5"/>
      <c r="H68" s="5"/>
      <c r="I68" s="3"/>
      <c r="J68" s="3"/>
      <c r="K68" s="3"/>
      <c r="L68" s="3"/>
      <c r="M68" s="41"/>
      <c r="N68" s="5"/>
      <c r="O68" s="42"/>
      <c r="P68" s="8"/>
      <c r="Q68" s="8"/>
      <c r="R68" s="5"/>
      <c r="S68" s="5"/>
      <c r="T68" s="3"/>
      <c r="U68" s="3"/>
      <c r="V68" s="3"/>
      <c r="W68" s="3"/>
      <c r="X68" s="5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</row>
    <row r="69" spans="1:75" s="36" customFormat="1" ht="18.75" customHeight="1">
      <c r="A69" s="5"/>
      <c r="B69" s="5"/>
      <c r="C69" s="5"/>
      <c r="D69" s="39"/>
      <c r="E69" s="40"/>
      <c r="F69" s="39"/>
      <c r="G69" s="5"/>
      <c r="H69" s="5"/>
      <c r="I69" s="3"/>
      <c r="J69" s="3"/>
      <c r="K69" s="3"/>
      <c r="L69" s="3"/>
      <c r="M69" s="41"/>
      <c r="N69" s="5"/>
      <c r="O69" s="42"/>
      <c r="P69" s="8"/>
      <c r="Q69" s="8"/>
      <c r="R69" s="5"/>
      <c r="S69" s="5"/>
      <c r="T69" s="3"/>
      <c r="U69" s="3"/>
      <c r="V69" s="3"/>
      <c r="W69" s="3"/>
      <c r="X69" s="5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</row>
    <row r="70" spans="1:75" s="36" customFormat="1" ht="18.75" customHeight="1">
      <c r="A70" s="5"/>
      <c r="B70" s="5"/>
      <c r="C70" s="5"/>
      <c r="D70" s="39"/>
      <c r="E70" s="40"/>
      <c r="F70" s="39"/>
      <c r="G70" s="5"/>
      <c r="H70" s="5"/>
      <c r="I70" s="3"/>
      <c r="J70" s="3"/>
      <c r="K70" s="3"/>
      <c r="L70" s="3"/>
      <c r="M70" s="41"/>
      <c r="N70" s="5"/>
      <c r="O70" s="42"/>
      <c r="P70" s="8"/>
      <c r="Q70" s="8"/>
      <c r="R70" s="5"/>
      <c r="S70" s="5"/>
      <c r="T70" s="3"/>
      <c r="U70" s="3"/>
      <c r="V70" s="3"/>
      <c r="W70" s="3"/>
      <c r="X70" s="5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</row>
    <row r="71" spans="1:75" s="36" customFormat="1" ht="18.75" customHeight="1">
      <c r="A71" s="5"/>
      <c r="B71" s="5"/>
      <c r="C71" s="5"/>
      <c r="D71" s="39"/>
      <c r="E71" s="40"/>
      <c r="F71" s="39"/>
      <c r="G71" s="5"/>
      <c r="H71" s="5"/>
      <c r="I71" s="3"/>
      <c r="J71" s="3"/>
      <c r="K71" s="3"/>
      <c r="L71" s="3"/>
      <c r="M71" s="41"/>
      <c r="N71" s="5"/>
      <c r="O71" s="42"/>
      <c r="P71" s="8"/>
      <c r="Q71" s="8"/>
      <c r="R71" s="5"/>
      <c r="S71" s="5"/>
      <c r="T71" s="3"/>
      <c r="U71" s="3"/>
      <c r="V71" s="3"/>
      <c r="W71" s="3"/>
      <c r="X71" s="5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</row>
    <row r="72" spans="1:75" s="36" customFormat="1" ht="18.75" customHeight="1">
      <c r="A72" s="5"/>
      <c r="B72" s="5"/>
      <c r="C72" s="5"/>
      <c r="D72" s="39"/>
      <c r="E72" s="40"/>
      <c r="F72" s="39"/>
      <c r="G72" s="5"/>
      <c r="H72" s="5"/>
      <c r="I72" s="3"/>
      <c r="J72" s="3"/>
      <c r="K72" s="3"/>
      <c r="L72" s="3"/>
      <c r="M72" s="41"/>
      <c r="N72" s="5"/>
      <c r="O72" s="42"/>
      <c r="P72" s="8"/>
      <c r="Q72" s="8"/>
      <c r="R72" s="5"/>
      <c r="S72" s="5"/>
      <c r="T72" s="3"/>
      <c r="U72" s="3"/>
      <c r="V72" s="3"/>
      <c r="W72" s="3"/>
      <c r="X72" s="5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</row>
    <row r="73" spans="1:75" s="36" customFormat="1" ht="18.75" customHeight="1">
      <c r="A73" s="5"/>
      <c r="B73" s="5"/>
      <c r="C73" s="5"/>
      <c r="D73" s="39"/>
      <c r="E73" s="40"/>
      <c r="F73" s="39"/>
      <c r="G73" s="5"/>
      <c r="H73" s="5"/>
      <c r="I73" s="3"/>
      <c r="J73" s="3"/>
      <c r="K73" s="3"/>
      <c r="L73" s="3"/>
      <c r="M73" s="45"/>
      <c r="N73" s="5"/>
      <c r="O73" s="42"/>
      <c r="P73" s="8"/>
      <c r="Q73" s="8"/>
      <c r="R73" s="5"/>
      <c r="S73" s="5"/>
      <c r="T73" s="3"/>
      <c r="U73" s="3"/>
      <c r="V73" s="3"/>
      <c r="W73" s="3"/>
      <c r="X73" s="5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</row>
    <row r="74" spans="1:75" s="36" customFormat="1" ht="18.75" customHeight="1">
      <c r="A74" s="55"/>
      <c r="B74" s="5"/>
      <c r="C74" s="5"/>
      <c r="D74" s="39"/>
      <c r="E74" s="40"/>
      <c r="F74" s="39"/>
      <c r="G74" s="5"/>
      <c r="H74" s="5"/>
      <c r="I74" s="3"/>
      <c r="J74" s="3"/>
      <c r="K74" s="3"/>
      <c r="L74" s="3"/>
      <c r="M74" s="41"/>
      <c r="N74" s="5"/>
      <c r="O74" s="3"/>
      <c r="P74" s="8"/>
      <c r="Q74" s="8"/>
      <c r="R74" s="5"/>
      <c r="S74" s="5"/>
      <c r="T74" s="3"/>
      <c r="U74" s="3"/>
      <c r="V74" s="3"/>
      <c r="W74" s="3"/>
      <c r="X74" s="5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</row>
    <row r="75" spans="1:75" s="36" customFormat="1" ht="18.75" customHeight="1">
      <c r="A75" s="5"/>
      <c r="B75" s="5"/>
      <c r="C75" s="5"/>
      <c r="D75" s="39"/>
      <c r="E75" s="40"/>
      <c r="F75" s="39"/>
      <c r="G75" s="5"/>
      <c r="H75" s="5"/>
      <c r="I75" s="3"/>
      <c r="J75" s="3"/>
      <c r="K75" s="3"/>
      <c r="L75" s="3"/>
      <c r="M75" s="41"/>
      <c r="N75" s="5"/>
      <c r="O75" s="3"/>
      <c r="P75" s="8"/>
      <c r="Q75" s="8"/>
      <c r="R75" s="5"/>
      <c r="S75" s="5"/>
      <c r="T75" s="3"/>
      <c r="U75" s="3"/>
      <c r="V75" s="3"/>
      <c r="W75" s="3"/>
      <c r="X75" s="5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</row>
    <row r="76" spans="1:75" s="60" customFormat="1" ht="18.75" customHeight="1">
      <c r="A76" s="55"/>
      <c r="B76" s="5"/>
      <c r="C76" s="55"/>
      <c r="D76" s="56"/>
      <c r="E76" s="56"/>
      <c r="F76" s="56"/>
      <c r="G76" s="55"/>
      <c r="H76" s="55"/>
      <c r="I76" s="55"/>
      <c r="J76" s="55"/>
      <c r="K76" s="55"/>
      <c r="L76" s="55"/>
      <c r="M76" s="57"/>
      <c r="N76" s="55"/>
      <c r="O76" s="55"/>
      <c r="P76" s="58"/>
      <c r="Q76" s="58"/>
      <c r="R76" s="55"/>
      <c r="S76" s="55"/>
      <c r="T76" s="55"/>
      <c r="U76" s="55"/>
      <c r="V76" s="55"/>
      <c r="W76" s="55"/>
      <c r="X76" s="55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59"/>
      <c r="BK76" s="59"/>
      <c r="BL76" s="59"/>
      <c r="BM76" s="59"/>
      <c r="BN76" s="59"/>
      <c r="BO76" s="59"/>
      <c r="BP76" s="59"/>
      <c r="BQ76" s="59"/>
      <c r="BR76" s="59"/>
      <c r="BS76" s="59"/>
      <c r="BT76" s="59"/>
      <c r="BU76" s="59"/>
      <c r="BV76" s="59"/>
      <c r="BW76" s="59"/>
    </row>
    <row r="77" spans="1:75" s="60" customFormat="1" ht="18.75" customHeight="1">
      <c r="A77" s="55"/>
      <c r="B77" s="5"/>
      <c r="C77" s="55"/>
      <c r="D77" s="56"/>
      <c r="E77" s="56"/>
      <c r="F77" s="56"/>
      <c r="G77" s="55"/>
      <c r="H77" s="55"/>
      <c r="I77" s="55"/>
      <c r="J77" s="55"/>
      <c r="K77" s="55"/>
      <c r="L77" s="55"/>
      <c r="M77" s="57"/>
      <c r="N77" s="55"/>
      <c r="O77" s="55"/>
      <c r="P77" s="58"/>
      <c r="Q77" s="58"/>
      <c r="R77" s="55"/>
      <c r="S77" s="55"/>
      <c r="T77" s="55"/>
      <c r="U77" s="55"/>
      <c r="V77" s="55"/>
      <c r="W77" s="55"/>
      <c r="X77" s="55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59"/>
      <c r="BK77" s="59"/>
      <c r="BL77" s="59"/>
      <c r="BM77" s="59"/>
      <c r="BN77" s="59"/>
      <c r="BO77" s="59"/>
      <c r="BP77" s="59"/>
      <c r="BQ77" s="59"/>
      <c r="BR77" s="59"/>
      <c r="BS77" s="59"/>
      <c r="BT77" s="59"/>
      <c r="BU77" s="59"/>
      <c r="BV77" s="59"/>
      <c r="BW77" s="59"/>
    </row>
    <row r="78" spans="1:75" s="36" customFormat="1" ht="18.75" customHeight="1">
      <c r="A78" s="5"/>
      <c r="B78" s="5"/>
      <c r="C78" s="5"/>
      <c r="D78" s="39"/>
      <c r="E78" s="40"/>
      <c r="F78" s="39"/>
      <c r="G78" s="5"/>
      <c r="H78" s="5"/>
      <c r="I78" s="3"/>
      <c r="J78" s="3"/>
      <c r="K78" s="3"/>
      <c r="L78" s="3"/>
      <c r="M78" s="45"/>
      <c r="N78" s="5"/>
      <c r="O78" s="3"/>
      <c r="P78" s="8"/>
      <c r="Q78" s="8"/>
      <c r="R78" s="5"/>
      <c r="S78" s="5"/>
      <c r="T78" s="3"/>
      <c r="U78" s="3"/>
      <c r="V78" s="3"/>
      <c r="W78" s="3"/>
      <c r="X78" s="5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</row>
    <row r="79" spans="1:75" s="36" customFormat="1" ht="18.75" customHeight="1">
      <c r="A79" s="5"/>
      <c r="B79" s="5"/>
      <c r="C79" s="5"/>
      <c r="D79" s="39"/>
      <c r="E79" s="40"/>
      <c r="F79" s="39"/>
      <c r="G79" s="5"/>
      <c r="H79" s="5"/>
      <c r="I79" s="3"/>
      <c r="J79" s="3"/>
      <c r="K79" s="3"/>
      <c r="L79" s="3"/>
      <c r="M79" s="45"/>
      <c r="N79" s="5"/>
      <c r="O79" s="3"/>
      <c r="P79" s="8"/>
      <c r="Q79" s="8"/>
      <c r="R79" s="5"/>
      <c r="S79" s="5"/>
      <c r="T79" s="3"/>
      <c r="U79" s="3"/>
      <c r="V79" s="3"/>
      <c r="W79" s="3"/>
      <c r="X79" s="5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</row>
    <row r="80" spans="1:75" s="36" customFormat="1" ht="18.75" customHeight="1">
      <c r="A80" s="5"/>
      <c r="B80" s="5"/>
      <c r="C80" s="5"/>
      <c r="D80" s="39"/>
      <c r="E80" s="40"/>
      <c r="F80" s="39"/>
      <c r="G80" s="5"/>
      <c r="H80" s="5"/>
      <c r="I80" s="3"/>
      <c r="J80" s="3"/>
      <c r="K80" s="3"/>
      <c r="L80" s="3"/>
      <c r="M80" s="41"/>
      <c r="N80" s="5"/>
      <c r="O80" s="42"/>
      <c r="P80" s="8"/>
      <c r="Q80" s="8"/>
      <c r="R80" s="5"/>
      <c r="S80" s="5"/>
      <c r="T80" s="3"/>
      <c r="U80" s="3"/>
      <c r="V80" s="3"/>
      <c r="W80" s="3"/>
      <c r="X80" s="5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</row>
    <row r="81" spans="1:75" s="36" customFormat="1" ht="18.75" customHeight="1">
      <c r="A81" s="5"/>
      <c r="B81" s="5"/>
      <c r="C81" s="5"/>
      <c r="D81" s="39"/>
      <c r="E81" s="40"/>
      <c r="F81" s="39"/>
      <c r="G81" s="5"/>
      <c r="H81" s="5"/>
      <c r="I81" s="3"/>
      <c r="J81" s="3"/>
      <c r="K81" s="3"/>
      <c r="L81" s="3"/>
      <c r="M81" s="41"/>
      <c r="N81" s="5"/>
      <c r="O81" s="42"/>
      <c r="P81" s="8"/>
      <c r="Q81" s="8"/>
      <c r="R81" s="5"/>
      <c r="S81" s="5"/>
      <c r="T81" s="3"/>
      <c r="U81" s="3"/>
      <c r="V81" s="3"/>
      <c r="W81" s="3"/>
      <c r="X81" s="5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</row>
    <row r="82" spans="1:75" s="36" customFormat="1" ht="18.75" customHeight="1">
      <c r="A82" s="5"/>
      <c r="B82" s="5"/>
      <c r="C82" s="5"/>
      <c r="D82" s="39"/>
      <c r="E82" s="40"/>
      <c r="F82" s="39"/>
      <c r="G82" s="5"/>
      <c r="H82" s="5"/>
      <c r="I82" s="3"/>
      <c r="J82" s="3"/>
      <c r="K82" s="3"/>
      <c r="L82" s="3"/>
      <c r="M82" s="41"/>
      <c r="N82" s="5"/>
      <c r="O82" s="42"/>
      <c r="P82" s="8"/>
      <c r="Q82" s="8"/>
      <c r="R82" s="5"/>
      <c r="S82" s="5"/>
      <c r="T82" s="3"/>
      <c r="U82" s="3"/>
      <c r="V82" s="3"/>
      <c r="W82" s="3"/>
      <c r="X82" s="5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</row>
    <row r="83" spans="1:75" s="36" customFormat="1" ht="18.75" customHeight="1">
      <c r="A83" s="5"/>
      <c r="B83" s="5"/>
      <c r="C83" s="5"/>
      <c r="D83" s="39"/>
      <c r="E83" s="40"/>
      <c r="F83" s="39"/>
      <c r="G83" s="5"/>
      <c r="H83" s="5"/>
      <c r="I83" s="3"/>
      <c r="J83" s="3"/>
      <c r="K83" s="3"/>
      <c r="L83" s="3"/>
      <c r="M83" s="41"/>
      <c r="N83" s="5"/>
      <c r="O83" s="42"/>
      <c r="P83" s="8"/>
      <c r="Q83" s="8"/>
      <c r="R83" s="5"/>
      <c r="S83" s="5"/>
      <c r="T83" s="3"/>
      <c r="U83" s="3"/>
      <c r="V83" s="3"/>
      <c r="W83" s="3"/>
      <c r="X83" s="5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</row>
    <row r="84" spans="1:75" s="36" customFormat="1" ht="18.75" customHeight="1">
      <c r="A84" s="5"/>
      <c r="B84" s="5"/>
      <c r="C84" s="5"/>
      <c r="D84" s="39"/>
      <c r="E84" s="40"/>
      <c r="F84" s="39"/>
      <c r="G84" s="5"/>
      <c r="H84" s="5"/>
      <c r="I84" s="3"/>
      <c r="J84" s="3"/>
      <c r="K84" s="3"/>
      <c r="L84" s="3"/>
      <c r="M84" s="41"/>
      <c r="N84" s="5"/>
      <c r="O84" s="42"/>
      <c r="P84" s="8"/>
      <c r="Q84" s="8"/>
      <c r="R84" s="5"/>
      <c r="S84" s="5"/>
      <c r="T84" s="3"/>
      <c r="U84" s="3"/>
      <c r="V84" s="3"/>
      <c r="W84" s="3"/>
      <c r="X84" s="5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</row>
    <row r="85" spans="1:75" s="36" customFormat="1" ht="18.75" customHeight="1">
      <c r="A85" s="5"/>
      <c r="B85" s="5"/>
      <c r="C85" s="5"/>
      <c r="D85" s="39"/>
      <c r="E85" s="40"/>
      <c r="F85" s="39"/>
      <c r="G85" s="5"/>
      <c r="H85" s="5"/>
      <c r="I85" s="3"/>
      <c r="J85" s="3"/>
      <c r="K85" s="3"/>
      <c r="L85" s="3"/>
      <c r="M85" s="41"/>
      <c r="N85" s="5"/>
      <c r="O85" s="3"/>
      <c r="P85" s="8"/>
      <c r="Q85" s="8"/>
      <c r="R85" s="5"/>
      <c r="S85" s="5"/>
      <c r="T85" s="3"/>
      <c r="U85" s="3"/>
      <c r="V85" s="3"/>
      <c r="W85" s="3"/>
      <c r="X85" s="5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</row>
    <row r="86" spans="1:75" s="36" customFormat="1" ht="18.75" customHeight="1">
      <c r="A86" s="5"/>
      <c r="B86" s="5"/>
      <c r="C86" s="5"/>
      <c r="D86" s="39"/>
      <c r="E86" s="40"/>
      <c r="F86" s="39"/>
      <c r="G86" s="5"/>
      <c r="H86" s="5"/>
      <c r="I86" s="3"/>
      <c r="J86" s="3"/>
      <c r="K86" s="3"/>
      <c r="L86" s="3"/>
      <c r="M86" s="41"/>
      <c r="N86" s="5"/>
      <c r="O86" s="3"/>
      <c r="P86" s="8"/>
      <c r="Q86" s="8"/>
      <c r="R86" s="5"/>
      <c r="S86" s="5"/>
      <c r="T86" s="3"/>
      <c r="U86" s="3"/>
      <c r="V86" s="3"/>
      <c r="W86" s="3"/>
      <c r="X86" s="5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</row>
    <row r="87" spans="1:75" s="36" customFormat="1" ht="18.75" customHeight="1">
      <c r="A87" s="5"/>
      <c r="B87" s="5"/>
      <c r="C87" s="5"/>
      <c r="D87" s="39"/>
      <c r="E87" s="40"/>
      <c r="F87" s="39"/>
      <c r="G87" s="5"/>
      <c r="H87" s="5"/>
      <c r="I87" s="3"/>
      <c r="J87" s="3"/>
      <c r="K87" s="3"/>
      <c r="L87" s="3"/>
      <c r="M87" s="41"/>
      <c r="N87" s="5"/>
      <c r="O87" s="3"/>
      <c r="P87" s="8"/>
      <c r="Q87" s="8"/>
      <c r="R87" s="5"/>
      <c r="S87" s="5"/>
      <c r="T87" s="3"/>
      <c r="U87" s="3"/>
      <c r="V87" s="3"/>
      <c r="W87" s="3"/>
      <c r="X87" s="5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</row>
    <row r="88" spans="1:75" s="36" customFormat="1" ht="18.75" customHeight="1">
      <c r="A88" s="5"/>
      <c r="B88" s="5"/>
      <c r="C88" s="5"/>
      <c r="D88" s="39"/>
      <c r="E88" s="40"/>
      <c r="F88" s="39"/>
      <c r="G88" s="5"/>
      <c r="H88" s="5"/>
      <c r="I88" s="3"/>
      <c r="J88" s="3"/>
      <c r="K88" s="3"/>
      <c r="L88" s="3"/>
      <c r="M88" s="41"/>
      <c r="N88" s="5"/>
      <c r="O88" s="3"/>
      <c r="P88" s="8"/>
      <c r="Q88" s="8"/>
      <c r="R88" s="5"/>
      <c r="S88" s="5"/>
      <c r="T88" s="3"/>
      <c r="U88" s="3"/>
      <c r="V88" s="3"/>
      <c r="W88" s="3"/>
      <c r="X88" s="5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</row>
    <row r="89" spans="1:75" s="36" customFormat="1" ht="18.75" customHeight="1">
      <c r="A89" s="5"/>
      <c r="B89" s="5"/>
      <c r="C89" s="5"/>
      <c r="D89" s="39"/>
      <c r="E89" s="40"/>
      <c r="F89" s="39"/>
      <c r="G89" s="5"/>
      <c r="H89" s="5"/>
      <c r="I89" s="3"/>
      <c r="J89" s="3"/>
      <c r="K89" s="3"/>
      <c r="L89" s="3"/>
      <c r="M89" s="41"/>
      <c r="N89" s="5"/>
      <c r="O89" s="3"/>
      <c r="P89" s="8"/>
      <c r="Q89" s="8"/>
      <c r="R89" s="5"/>
      <c r="S89" s="5"/>
      <c r="T89" s="3"/>
      <c r="U89" s="3"/>
      <c r="V89" s="3"/>
      <c r="W89" s="3"/>
      <c r="X89" s="5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</row>
    <row r="90" spans="1:75" s="36" customFormat="1" ht="18.75" customHeight="1">
      <c r="A90" s="55"/>
      <c r="B90" s="5"/>
      <c r="C90" s="5"/>
      <c r="D90" s="39"/>
      <c r="E90" s="40"/>
      <c r="F90" s="39"/>
      <c r="G90" s="5"/>
      <c r="H90" s="5"/>
      <c r="I90" s="3"/>
      <c r="J90" s="3"/>
      <c r="K90" s="3"/>
      <c r="L90" s="3"/>
      <c r="M90" s="41"/>
      <c r="N90" s="5"/>
      <c r="O90" s="5"/>
      <c r="P90" s="8"/>
      <c r="Q90" s="8"/>
      <c r="R90" s="5"/>
      <c r="S90" s="5"/>
      <c r="T90" s="3"/>
      <c r="U90" s="3"/>
      <c r="V90" s="3"/>
      <c r="W90" s="3"/>
      <c r="X90" s="5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</row>
    <row r="91" spans="1:75" s="36" customFormat="1" ht="18.75" customHeight="1">
      <c r="A91" s="5"/>
      <c r="B91" s="5"/>
      <c r="C91" s="5"/>
      <c r="D91" s="39"/>
      <c r="E91" s="40"/>
      <c r="F91" s="39"/>
      <c r="G91" s="5"/>
      <c r="H91" s="5"/>
      <c r="I91" s="3"/>
      <c r="J91" s="3"/>
      <c r="K91" s="3"/>
      <c r="L91" s="3"/>
      <c r="M91" s="41"/>
      <c r="N91" s="5"/>
      <c r="O91" s="5"/>
      <c r="P91" s="8"/>
      <c r="Q91" s="8"/>
      <c r="R91" s="5"/>
      <c r="S91" s="5"/>
      <c r="T91" s="3"/>
      <c r="U91" s="3"/>
      <c r="V91" s="3"/>
      <c r="W91" s="3"/>
      <c r="X91" s="5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</row>
    <row r="92" spans="1:75" s="36" customFormat="1" ht="18.75" customHeight="1">
      <c r="A92" s="5"/>
      <c r="B92" s="5"/>
      <c r="C92" s="5"/>
      <c r="D92" s="39"/>
      <c r="E92" s="40"/>
      <c r="F92" s="39"/>
      <c r="G92" s="5"/>
      <c r="H92" s="5"/>
      <c r="I92" s="3"/>
      <c r="J92" s="3"/>
      <c r="K92" s="3"/>
      <c r="L92" s="3"/>
      <c r="M92" s="41"/>
      <c r="N92" s="5"/>
      <c r="O92" s="5"/>
      <c r="P92" s="8"/>
      <c r="Q92" s="8"/>
      <c r="R92" s="5"/>
      <c r="S92" s="5"/>
      <c r="T92" s="3"/>
      <c r="U92" s="3"/>
      <c r="V92" s="3"/>
      <c r="W92" s="3"/>
      <c r="X92" s="5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</row>
    <row r="93" spans="1:75" s="36" customFormat="1" ht="18.75" customHeight="1">
      <c r="A93" s="5"/>
      <c r="B93" s="5"/>
      <c r="C93" s="5"/>
      <c r="D93" s="39"/>
      <c r="E93" s="40"/>
      <c r="F93" s="39"/>
      <c r="G93" s="5"/>
      <c r="H93" s="5"/>
      <c r="I93" s="3"/>
      <c r="J93" s="3"/>
      <c r="K93" s="3"/>
      <c r="L93" s="3"/>
      <c r="M93" s="41"/>
      <c r="N93" s="5"/>
      <c r="O93" s="5"/>
      <c r="P93" s="8"/>
      <c r="Q93" s="8"/>
      <c r="R93" s="5"/>
      <c r="S93" s="5"/>
      <c r="T93" s="3"/>
      <c r="U93" s="3"/>
      <c r="V93" s="3"/>
      <c r="W93" s="3"/>
      <c r="X93" s="5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</row>
    <row r="94" spans="1:75" s="36" customFormat="1" ht="18.75" customHeight="1">
      <c r="A94" s="5"/>
      <c r="B94" s="5"/>
      <c r="C94" s="5"/>
      <c r="D94" s="39"/>
      <c r="E94" s="40"/>
      <c r="F94" s="39"/>
      <c r="G94" s="5"/>
      <c r="H94" s="5"/>
      <c r="I94" s="3"/>
      <c r="J94" s="3"/>
      <c r="K94" s="3"/>
      <c r="L94" s="3"/>
      <c r="M94" s="41"/>
      <c r="N94" s="80"/>
      <c r="O94" s="5"/>
      <c r="P94" s="8"/>
      <c r="Q94" s="8"/>
      <c r="R94" s="5"/>
      <c r="S94" s="5"/>
      <c r="T94" s="3"/>
      <c r="U94" s="3"/>
      <c r="V94" s="3"/>
      <c r="W94" s="3"/>
      <c r="X94" s="5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</row>
    <row r="95" spans="1:75" s="36" customFormat="1" ht="18.75" customHeight="1">
      <c r="A95" s="5"/>
      <c r="B95" s="5"/>
      <c r="C95" s="5"/>
      <c r="D95" s="39"/>
      <c r="E95" s="40"/>
      <c r="F95" s="39"/>
      <c r="G95" s="5"/>
      <c r="H95" s="44"/>
      <c r="I95" s="5"/>
      <c r="J95" s="3"/>
      <c r="K95" s="3"/>
      <c r="L95" s="5"/>
      <c r="M95" s="45"/>
      <c r="N95" s="5"/>
      <c r="O95" s="5"/>
      <c r="P95" s="8"/>
      <c r="Q95" s="8"/>
      <c r="R95" s="5"/>
      <c r="S95" s="5"/>
      <c r="T95" s="3"/>
      <c r="U95" s="3"/>
      <c r="V95" s="3"/>
      <c r="W95" s="3"/>
      <c r="X95" s="5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</row>
    <row r="96" spans="1:75" s="50" customFormat="1" ht="18.75" customHeight="1">
      <c r="A96" s="5"/>
      <c r="B96" s="5"/>
      <c r="C96" s="5"/>
      <c r="D96" s="40"/>
      <c r="E96" s="40"/>
      <c r="F96" s="40"/>
      <c r="G96" s="5"/>
      <c r="H96" s="5"/>
      <c r="I96" s="5"/>
      <c r="J96" s="5"/>
      <c r="K96" s="5"/>
      <c r="L96" s="5"/>
      <c r="M96" s="47"/>
      <c r="N96" s="5"/>
      <c r="O96" s="5"/>
      <c r="P96" s="48"/>
      <c r="Q96" s="48"/>
      <c r="R96" s="5"/>
      <c r="S96" s="5"/>
      <c r="T96" s="5"/>
      <c r="U96" s="5"/>
      <c r="V96" s="5"/>
      <c r="W96" s="5"/>
      <c r="X96" s="5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  <c r="BI96" s="49"/>
      <c r="BJ96" s="49"/>
      <c r="BK96" s="49"/>
      <c r="BL96" s="49"/>
      <c r="BM96" s="49"/>
      <c r="BN96" s="49"/>
      <c r="BO96" s="49"/>
      <c r="BP96" s="49"/>
      <c r="BQ96" s="49"/>
      <c r="BR96" s="49"/>
      <c r="BS96" s="49"/>
      <c r="BT96" s="49"/>
      <c r="BU96" s="49"/>
      <c r="BV96" s="49"/>
      <c r="BW96" s="49"/>
    </row>
    <row r="97" spans="1:75" s="36" customFormat="1" ht="18.75" customHeight="1">
      <c r="A97" s="5"/>
      <c r="B97" s="5"/>
      <c r="C97" s="5"/>
      <c r="D97" s="39"/>
      <c r="E97" s="40"/>
      <c r="F97" s="39"/>
      <c r="G97" s="5"/>
      <c r="H97" s="5"/>
      <c r="I97" s="3"/>
      <c r="J97" s="3"/>
      <c r="K97" s="3"/>
      <c r="L97" s="3"/>
      <c r="M97" s="41"/>
      <c r="N97" s="5"/>
      <c r="O97" s="42"/>
      <c r="P97" s="8"/>
      <c r="Q97" s="8"/>
      <c r="R97" s="5"/>
      <c r="S97" s="5"/>
      <c r="T97" s="3"/>
      <c r="U97" s="3"/>
      <c r="V97" s="3"/>
      <c r="W97" s="3"/>
      <c r="X97" s="5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</row>
    <row r="98" spans="1:75" s="36" customFormat="1" ht="18.75" customHeight="1">
      <c r="A98" s="5"/>
      <c r="B98" s="5"/>
      <c r="C98" s="5"/>
      <c r="D98" s="39"/>
      <c r="E98" s="40"/>
      <c r="F98" s="39"/>
      <c r="G98" s="5"/>
      <c r="H98" s="5"/>
      <c r="I98" s="3"/>
      <c r="J98" s="3"/>
      <c r="K98" s="3"/>
      <c r="L98" s="3"/>
      <c r="M98" s="45"/>
      <c r="N98" s="5"/>
      <c r="O98" s="42"/>
      <c r="P98" s="8"/>
      <c r="Q98" s="8"/>
      <c r="R98" s="5"/>
      <c r="S98" s="5"/>
      <c r="T98" s="3"/>
      <c r="U98" s="3"/>
      <c r="V98" s="3"/>
      <c r="W98" s="3"/>
      <c r="X98" s="5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</row>
    <row r="99" spans="1:75" s="36" customFormat="1" ht="18.75" customHeight="1">
      <c r="A99" s="5"/>
      <c r="B99" s="5"/>
      <c r="C99" s="5"/>
      <c r="D99" s="39"/>
      <c r="E99" s="40"/>
      <c r="F99" s="39"/>
      <c r="G99" s="5"/>
      <c r="H99" s="5"/>
      <c r="I99" s="3"/>
      <c r="J99" s="3"/>
      <c r="K99" s="3"/>
      <c r="L99" s="3"/>
      <c r="M99" s="45"/>
      <c r="N99" s="5"/>
      <c r="O99" s="3"/>
      <c r="P99" s="8"/>
      <c r="Q99" s="8"/>
      <c r="R99" s="5"/>
      <c r="S99" s="5"/>
      <c r="T99" s="3"/>
      <c r="U99" s="3"/>
      <c r="V99" s="3"/>
      <c r="W99" s="3"/>
      <c r="X99" s="5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</row>
    <row r="100" spans="1:75" s="36" customFormat="1" ht="18.75" customHeight="1">
      <c r="A100" s="5"/>
      <c r="B100" s="5"/>
      <c r="C100" s="5"/>
      <c r="D100" s="39"/>
      <c r="E100" s="40"/>
      <c r="F100" s="39"/>
      <c r="G100" s="5"/>
      <c r="H100" s="5"/>
      <c r="I100" s="3"/>
      <c r="J100" s="3"/>
      <c r="K100" s="3"/>
      <c r="L100" s="3"/>
      <c r="M100" s="45"/>
      <c r="N100" s="5"/>
      <c r="O100" s="42"/>
      <c r="P100" s="8"/>
      <c r="Q100" s="8"/>
      <c r="R100" s="5"/>
      <c r="S100" s="5"/>
      <c r="T100" s="3"/>
      <c r="U100" s="3"/>
      <c r="V100" s="3"/>
      <c r="W100" s="3"/>
      <c r="X100" s="5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</row>
    <row r="101" spans="1:75" s="36" customFormat="1" ht="18.75" customHeight="1">
      <c r="A101" s="5"/>
      <c r="B101" s="5"/>
      <c r="C101" s="5"/>
      <c r="D101" s="39"/>
      <c r="E101" s="40"/>
      <c r="F101" s="39"/>
      <c r="G101" s="5"/>
      <c r="H101" s="5"/>
      <c r="I101" s="3"/>
      <c r="J101" s="3"/>
      <c r="K101" s="3"/>
      <c r="L101" s="3"/>
      <c r="M101" s="41"/>
      <c r="N101" s="5"/>
      <c r="O101" s="42"/>
      <c r="P101" s="8"/>
      <c r="Q101" s="8"/>
      <c r="R101" s="5"/>
      <c r="S101" s="5"/>
      <c r="T101" s="3"/>
      <c r="U101" s="3"/>
      <c r="V101" s="3"/>
      <c r="W101" s="3"/>
      <c r="X101" s="5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</row>
    <row r="102" spans="1:75" s="36" customFormat="1" ht="18.75" customHeight="1">
      <c r="A102" s="5"/>
      <c r="B102" s="5"/>
      <c r="C102" s="5"/>
      <c r="D102" s="39"/>
      <c r="E102" s="40"/>
      <c r="F102" s="39"/>
      <c r="G102" s="5"/>
      <c r="H102" s="5"/>
      <c r="I102" s="3"/>
      <c r="J102" s="3"/>
      <c r="K102" s="3"/>
      <c r="L102" s="3"/>
      <c r="M102" s="41"/>
      <c r="N102" s="5"/>
      <c r="O102" s="5"/>
      <c r="P102" s="8"/>
      <c r="Q102" s="8"/>
      <c r="R102" s="5"/>
      <c r="S102" s="5"/>
      <c r="T102" s="3"/>
      <c r="U102" s="3"/>
      <c r="V102" s="3"/>
      <c r="W102" s="3"/>
      <c r="X102" s="5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</row>
    <row r="103" spans="1:75" s="36" customFormat="1" ht="18.75" customHeight="1">
      <c r="A103" s="5"/>
      <c r="B103" s="5"/>
      <c r="C103" s="5"/>
      <c r="D103" s="39"/>
      <c r="E103" s="40"/>
      <c r="F103" s="39"/>
      <c r="G103" s="5"/>
      <c r="H103" s="5"/>
      <c r="I103" s="3"/>
      <c r="J103" s="3"/>
      <c r="K103" s="3"/>
      <c r="L103" s="3"/>
      <c r="M103" s="41"/>
      <c r="N103" s="5"/>
      <c r="O103" s="5"/>
      <c r="P103" s="8"/>
      <c r="Q103" s="8"/>
      <c r="R103" s="5"/>
      <c r="S103" s="5"/>
      <c r="T103" s="3"/>
      <c r="U103" s="3"/>
      <c r="V103" s="3"/>
      <c r="W103" s="3"/>
      <c r="X103" s="5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</row>
    <row r="104" spans="1:75" s="36" customFormat="1" ht="18.75" customHeight="1">
      <c r="A104" s="5"/>
      <c r="B104" s="5"/>
      <c r="C104" s="5"/>
      <c r="D104" s="39"/>
      <c r="E104" s="40"/>
      <c r="F104" s="39"/>
      <c r="G104" s="5"/>
      <c r="H104" s="5"/>
      <c r="I104" s="3"/>
      <c r="J104" s="3"/>
      <c r="K104" s="3"/>
      <c r="L104" s="3"/>
      <c r="M104" s="41"/>
      <c r="N104" s="5"/>
      <c r="O104" s="42"/>
      <c r="P104" s="8"/>
      <c r="Q104" s="8"/>
      <c r="R104" s="5"/>
      <c r="S104" s="5"/>
      <c r="T104" s="3"/>
      <c r="U104" s="3"/>
      <c r="V104" s="3"/>
      <c r="W104" s="3"/>
      <c r="X104" s="5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</row>
    <row r="105" spans="1:75" s="36" customFormat="1" ht="18.75" customHeight="1">
      <c r="A105" s="5"/>
      <c r="B105" s="5"/>
      <c r="C105" s="5"/>
      <c r="D105" s="39"/>
      <c r="E105" s="40"/>
      <c r="F105" s="39"/>
      <c r="G105" s="5"/>
      <c r="H105" s="3"/>
      <c r="I105" s="3"/>
      <c r="J105" s="3"/>
      <c r="K105" s="3"/>
      <c r="L105" s="41"/>
      <c r="M105" s="5"/>
      <c r="N105" s="5"/>
      <c r="O105" s="8"/>
      <c r="P105" s="8"/>
      <c r="Q105" s="5"/>
      <c r="R105" s="3"/>
      <c r="S105" s="3"/>
      <c r="T105" s="3"/>
      <c r="U105" s="3"/>
      <c r="V105" s="5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</row>
    <row r="106" spans="1:75" s="36" customFormat="1" ht="18.75" customHeight="1">
      <c r="A106" s="5"/>
      <c r="B106" s="5"/>
      <c r="C106" s="5"/>
      <c r="D106" s="39"/>
      <c r="E106" s="40"/>
      <c r="F106" s="39"/>
      <c r="G106" s="5"/>
      <c r="H106" s="44"/>
      <c r="I106" s="3"/>
      <c r="J106" s="3"/>
      <c r="K106" s="3"/>
      <c r="L106" s="5"/>
      <c r="M106" s="45"/>
      <c r="N106" s="5"/>
      <c r="O106" s="5"/>
      <c r="P106" s="8"/>
      <c r="Q106" s="8"/>
      <c r="R106" s="5"/>
      <c r="S106" s="5"/>
      <c r="T106" s="3"/>
      <c r="U106" s="3"/>
      <c r="V106" s="3"/>
      <c r="W106" s="3"/>
      <c r="X106" s="5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</row>
    <row r="107" spans="1:75" s="36" customFormat="1" ht="18.75" customHeight="1">
      <c r="A107" s="5"/>
      <c r="B107" s="5"/>
      <c r="C107" s="5"/>
      <c r="D107" s="39"/>
      <c r="E107" s="40"/>
      <c r="F107" s="39"/>
      <c r="G107" s="5"/>
      <c r="H107" s="5"/>
      <c r="I107" s="3"/>
      <c r="J107" s="3"/>
      <c r="K107" s="3"/>
      <c r="L107" s="3"/>
      <c r="M107" s="45"/>
      <c r="N107" s="5"/>
      <c r="O107" s="42"/>
      <c r="P107" s="8"/>
      <c r="Q107" s="8"/>
      <c r="R107" s="5"/>
      <c r="S107" s="5"/>
      <c r="T107" s="3"/>
      <c r="U107" s="3"/>
      <c r="V107" s="3"/>
      <c r="W107" s="3"/>
      <c r="X107" s="5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</row>
    <row r="108" spans="1:75" s="36" customFormat="1" ht="18.75" customHeight="1">
      <c r="A108" s="5"/>
      <c r="B108" s="5"/>
      <c r="C108" s="5"/>
      <c r="D108" s="39"/>
      <c r="E108" s="40"/>
      <c r="F108" s="39"/>
      <c r="G108" s="5"/>
      <c r="H108" s="5"/>
      <c r="I108" s="3"/>
      <c r="J108" s="3"/>
      <c r="K108" s="3"/>
      <c r="L108" s="3"/>
      <c r="M108" s="41"/>
      <c r="N108" s="5"/>
      <c r="O108" s="42"/>
      <c r="P108" s="8"/>
      <c r="Q108" s="8"/>
      <c r="R108" s="5"/>
      <c r="S108" s="5"/>
      <c r="T108" s="3"/>
      <c r="U108" s="3"/>
      <c r="V108" s="3"/>
      <c r="W108" s="3"/>
      <c r="X108" s="5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</row>
    <row r="109" spans="1:75" s="36" customFormat="1" ht="18.75" customHeight="1">
      <c r="A109" s="5"/>
      <c r="B109" s="5"/>
      <c r="C109" s="5"/>
      <c r="D109" s="39"/>
      <c r="E109" s="40"/>
      <c r="F109" s="39"/>
      <c r="G109" s="5"/>
      <c r="H109" s="5"/>
      <c r="I109" s="3"/>
      <c r="J109" s="3"/>
      <c r="K109" s="3"/>
      <c r="L109" s="3"/>
      <c r="M109" s="41"/>
      <c r="N109" s="5"/>
      <c r="O109" s="42"/>
      <c r="P109" s="8"/>
      <c r="Q109" s="8"/>
      <c r="R109" s="5"/>
      <c r="S109" s="5"/>
      <c r="T109" s="3"/>
      <c r="U109" s="3"/>
      <c r="V109" s="3"/>
      <c r="W109" s="3"/>
      <c r="X109" s="5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</row>
    <row r="110" spans="1:75" s="36" customFormat="1" ht="18.75" customHeight="1">
      <c r="A110" s="5"/>
      <c r="B110" s="5"/>
      <c r="C110" s="5"/>
      <c r="D110" s="39"/>
      <c r="E110" s="40"/>
      <c r="F110" s="39"/>
      <c r="G110" s="5"/>
      <c r="H110" s="5"/>
      <c r="I110" s="3"/>
      <c r="J110" s="3"/>
      <c r="K110" s="3"/>
      <c r="L110" s="3"/>
      <c r="M110" s="41"/>
      <c r="N110" s="5"/>
      <c r="O110" s="42"/>
      <c r="P110" s="8"/>
      <c r="Q110" s="8"/>
      <c r="R110" s="5"/>
      <c r="S110" s="5"/>
      <c r="T110" s="3"/>
      <c r="U110" s="3"/>
      <c r="V110" s="3"/>
      <c r="W110" s="3"/>
      <c r="X110" s="5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</row>
    <row r="111" spans="1:75" s="36" customFormat="1" ht="18.75" customHeight="1">
      <c r="A111" s="5"/>
      <c r="B111" s="5"/>
      <c r="C111" s="5"/>
      <c r="D111" s="39"/>
      <c r="E111" s="40"/>
      <c r="F111" s="39"/>
      <c r="G111" s="5"/>
      <c r="H111" s="5"/>
      <c r="I111" s="3"/>
      <c r="J111" s="3"/>
      <c r="K111" s="3"/>
      <c r="L111" s="3"/>
      <c r="M111" s="41"/>
      <c r="N111" s="5"/>
      <c r="O111" s="42"/>
      <c r="P111" s="8"/>
      <c r="Q111" s="8"/>
      <c r="R111" s="5"/>
      <c r="S111" s="5"/>
      <c r="T111" s="3"/>
      <c r="U111" s="3"/>
      <c r="V111" s="3"/>
      <c r="W111" s="3"/>
      <c r="X111" s="5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</row>
    <row r="112" spans="1:75" s="36" customFormat="1" ht="18.75" customHeight="1">
      <c r="A112" s="5"/>
      <c r="B112" s="5"/>
      <c r="C112" s="5"/>
      <c r="D112" s="39"/>
      <c r="E112" s="40"/>
      <c r="F112" s="39"/>
      <c r="G112" s="5"/>
      <c r="H112" s="5"/>
      <c r="I112" s="3"/>
      <c r="J112" s="3"/>
      <c r="K112" s="3"/>
      <c r="L112" s="3"/>
      <c r="M112" s="41"/>
      <c r="N112" s="5"/>
      <c r="O112" s="42"/>
      <c r="P112" s="8"/>
      <c r="Q112" s="8"/>
      <c r="R112" s="5"/>
      <c r="S112" s="5"/>
      <c r="T112" s="3"/>
      <c r="U112" s="3"/>
      <c r="V112" s="3"/>
      <c r="W112" s="3"/>
      <c r="X112" s="5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</row>
    <row r="113" spans="1:75" s="36" customFormat="1" ht="18.75" customHeight="1">
      <c r="A113" s="5"/>
      <c r="B113" s="5"/>
      <c r="C113" s="5"/>
      <c r="D113" s="39"/>
      <c r="E113" s="40"/>
      <c r="F113" s="39"/>
      <c r="G113" s="5"/>
      <c r="H113" s="5"/>
      <c r="I113" s="3"/>
      <c r="J113" s="3"/>
      <c r="K113" s="3"/>
      <c r="L113" s="3"/>
      <c r="M113" s="41"/>
      <c r="N113" s="5"/>
      <c r="O113" s="42"/>
      <c r="P113" s="8"/>
      <c r="Q113" s="8"/>
      <c r="R113" s="5"/>
      <c r="S113" s="5"/>
      <c r="T113" s="3"/>
      <c r="U113" s="3"/>
      <c r="V113" s="3"/>
      <c r="W113" s="3"/>
      <c r="X113" s="5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</row>
    <row r="114" spans="1:75" s="36" customFormat="1" ht="18.75" customHeight="1">
      <c r="A114" s="5"/>
      <c r="B114" s="5"/>
      <c r="C114" s="5"/>
      <c r="D114" s="39"/>
      <c r="E114" s="40"/>
      <c r="F114" s="39"/>
      <c r="G114" s="5"/>
      <c r="H114" s="5"/>
      <c r="I114" s="3"/>
      <c r="J114" s="3"/>
      <c r="K114" s="3"/>
      <c r="L114" s="3"/>
      <c r="M114" s="41"/>
      <c r="N114" s="5"/>
      <c r="O114" s="42"/>
      <c r="P114" s="8"/>
      <c r="Q114" s="8"/>
      <c r="R114" s="5"/>
      <c r="S114" s="5"/>
      <c r="T114" s="3"/>
      <c r="U114" s="3"/>
      <c r="V114" s="3"/>
      <c r="W114" s="3"/>
      <c r="X114" s="5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</row>
    <row r="115" spans="1:75" s="36" customFormat="1" ht="18.75" customHeight="1">
      <c r="A115" s="5"/>
      <c r="B115" s="5"/>
      <c r="C115" s="5"/>
      <c r="D115" s="39"/>
      <c r="E115" s="40"/>
      <c r="F115" s="39"/>
      <c r="G115" s="5"/>
      <c r="H115" s="5"/>
      <c r="I115" s="3"/>
      <c r="J115" s="3"/>
      <c r="K115" s="3"/>
      <c r="L115" s="3"/>
      <c r="M115" s="41"/>
      <c r="N115" s="5"/>
      <c r="O115" s="42"/>
      <c r="P115" s="8"/>
      <c r="Q115" s="8"/>
      <c r="R115" s="5"/>
      <c r="S115" s="5"/>
      <c r="T115" s="3"/>
      <c r="U115" s="3"/>
      <c r="V115" s="3"/>
      <c r="W115" s="3"/>
      <c r="X115" s="5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</row>
    <row r="116" spans="1:75" s="36" customFormat="1" ht="18.75" customHeight="1">
      <c r="A116" s="5"/>
      <c r="B116" s="5"/>
      <c r="C116" s="5"/>
      <c r="D116" s="39"/>
      <c r="E116" s="40"/>
      <c r="F116" s="39"/>
      <c r="G116" s="5"/>
      <c r="H116" s="5"/>
      <c r="I116" s="3"/>
      <c r="J116" s="3"/>
      <c r="K116" s="3"/>
      <c r="L116" s="3"/>
      <c r="M116" s="41"/>
      <c r="N116" s="5"/>
      <c r="O116" s="42"/>
      <c r="P116" s="8"/>
      <c r="Q116" s="8"/>
      <c r="R116" s="5"/>
      <c r="S116" s="5"/>
      <c r="T116" s="3"/>
      <c r="U116" s="3"/>
      <c r="V116" s="3"/>
      <c r="W116" s="3"/>
      <c r="X116" s="5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</row>
    <row r="117" spans="1:75" s="36" customFormat="1" ht="18.75" customHeight="1">
      <c r="A117" s="5"/>
      <c r="B117" s="5"/>
      <c r="C117" s="5"/>
      <c r="D117" s="39"/>
      <c r="E117" s="40"/>
      <c r="F117" s="39"/>
      <c r="G117" s="5"/>
      <c r="H117" s="5"/>
      <c r="I117" s="3"/>
      <c r="J117" s="3"/>
      <c r="K117" s="3"/>
      <c r="L117" s="3"/>
      <c r="M117" s="41"/>
      <c r="N117" s="5"/>
      <c r="O117" s="42"/>
      <c r="P117" s="8"/>
      <c r="Q117" s="8"/>
      <c r="R117" s="5"/>
      <c r="S117" s="5"/>
      <c r="T117" s="3"/>
      <c r="U117" s="3"/>
      <c r="V117" s="3"/>
      <c r="W117" s="3"/>
      <c r="X117" s="5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</row>
    <row r="118" spans="1:75" s="36" customFormat="1" ht="18.75" customHeight="1">
      <c r="A118" s="5"/>
      <c r="B118" s="5"/>
      <c r="C118" s="5"/>
      <c r="D118" s="39"/>
      <c r="E118" s="40"/>
      <c r="F118" s="39"/>
      <c r="G118" s="5"/>
      <c r="H118" s="5"/>
      <c r="I118" s="3"/>
      <c r="J118" s="3"/>
      <c r="K118" s="3"/>
      <c r="L118" s="3"/>
      <c r="M118" s="41"/>
      <c r="N118" s="5"/>
      <c r="O118" s="42"/>
      <c r="P118" s="8"/>
      <c r="Q118" s="8"/>
      <c r="R118" s="5"/>
      <c r="S118" s="5"/>
      <c r="T118" s="3"/>
      <c r="U118" s="3"/>
      <c r="V118" s="3"/>
      <c r="W118" s="3"/>
      <c r="X118" s="5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</row>
    <row r="119" spans="1:75" s="36" customFormat="1" ht="18.75" customHeight="1">
      <c r="A119" s="5"/>
      <c r="B119" s="5"/>
      <c r="C119" s="5"/>
      <c r="D119" s="39"/>
      <c r="E119" s="40"/>
      <c r="F119" s="39"/>
      <c r="G119" s="5"/>
      <c r="H119" s="5"/>
      <c r="I119" s="3"/>
      <c r="J119" s="3"/>
      <c r="K119" s="3"/>
      <c r="L119" s="3"/>
      <c r="M119" s="41"/>
      <c r="N119" s="5"/>
      <c r="O119" s="42"/>
      <c r="P119" s="8"/>
      <c r="Q119" s="8"/>
      <c r="R119" s="5"/>
      <c r="S119" s="5"/>
      <c r="T119" s="3"/>
      <c r="U119" s="3"/>
      <c r="V119" s="3"/>
      <c r="W119" s="3"/>
      <c r="X119" s="5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</row>
    <row r="120" spans="1:75" s="36" customFormat="1" ht="18.75" customHeight="1">
      <c r="A120" s="5"/>
      <c r="B120" s="5"/>
      <c r="C120" s="5"/>
      <c r="D120" s="39"/>
      <c r="E120" s="40"/>
      <c r="F120" s="39"/>
      <c r="G120" s="5"/>
      <c r="H120" s="5"/>
      <c r="I120" s="3"/>
      <c r="J120" s="3"/>
      <c r="K120" s="3"/>
      <c r="L120" s="3"/>
      <c r="M120" s="41"/>
      <c r="N120" s="5"/>
      <c r="O120" s="42"/>
      <c r="P120" s="8"/>
      <c r="Q120" s="8"/>
      <c r="R120" s="5"/>
      <c r="S120" s="5"/>
      <c r="T120" s="3"/>
      <c r="U120" s="3"/>
      <c r="V120" s="3"/>
      <c r="W120" s="3"/>
      <c r="X120" s="5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</row>
    <row r="121" spans="1:75" s="36" customFormat="1" ht="18.75" customHeight="1">
      <c r="A121" s="5"/>
      <c r="B121" s="5"/>
      <c r="C121" s="5"/>
      <c r="D121" s="39"/>
      <c r="E121" s="40"/>
      <c r="F121" s="39"/>
      <c r="G121" s="5"/>
      <c r="H121" s="5"/>
      <c r="I121" s="3"/>
      <c r="J121" s="3"/>
      <c r="K121" s="3"/>
      <c r="L121" s="3"/>
      <c r="M121" s="41"/>
      <c r="N121" s="5"/>
      <c r="O121" s="42"/>
      <c r="P121" s="8"/>
      <c r="Q121" s="8"/>
      <c r="R121" s="5"/>
      <c r="S121" s="5"/>
      <c r="T121" s="3"/>
      <c r="U121" s="3"/>
      <c r="V121" s="3"/>
      <c r="W121" s="3"/>
      <c r="X121" s="5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</row>
    <row r="122" spans="1:75" s="36" customFormat="1" ht="18.75" customHeight="1">
      <c r="A122" s="5"/>
      <c r="B122" s="5"/>
      <c r="C122" s="5"/>
      <c r="D122" s="39"/>
      <c r="E122" s="40"/>
      <c r="F122" s="39"/>
      <c r="G122" s="5"/>
      <c r="H122" s="5"/>
      <c r="I122" s="3"/>
      <c r="J122" s="3"/>
      <c r="K122" s="3"/>
      <c r="L122" s="3"/>
      <c r="M122" s="41"/>
      <c r="N122" s="5"/>
      <c r="O122" s="42"/>
      <c r="P122" s="8"/>
      <c r="Q122" s="8"/>
      <c r="R122" s="5"/>
      <c r="S122" s="5"/>
      <c r="T122" s="3"/>
      <c r="U122" s="3"/>
      <c r="V122" s="3"/>
      <c r="W122" s="3"/>
      <c r="X122" s="5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</row>
    <row r="123" spans="1:75" s="36" customFormat="1" ht="18.75" customHeight="1">
      <c r="A123" s="5"/>
      <c r="B123" s="5"/>
      <c r="C123" s="5"/>
      <c r="D123" s="39"/>
      <c r="E123" s="40"/>
      <c r="F123" s="39"/>
      <c r="G123" s="5"/>
      <c r="H123" s="5"/>
      <c r="I123" s="3"/>
      <c r="J123" s="3"/>
      <c r="K123" s="3"/>
      <c r="L123" s="3"/>
      <c r="M123" s="41"/>
      <c r="N123" s="5"/>
      <c r="O123" s="42"/>
      <c r="P123" s="8"/>
      <c r="Q123" s="8"/>
      <c r="R123" s="5"/>
      <c r="S123" s="5"/>
      <c r="T123" s="3"/>
      <c r="U123" s="3"/>
      <c r="V123" s="3"/>
      <c r="W123" s="3"/>
      <c r="X123" s="5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</row>
    <row r="124" spans="1:75" s="36" customFormat="1" ht="18.75" customHeight="1">
      <c r="A124" s="5"/>
      <c r="B124" s="5"/>
      <c r="C124" s="5"/>
      <c r="D124" s="39"/>
      <c r="E124" s="40"/>
      <c r="F124" s="39"/>
      <c r="G124" s="5"/>
      <c r="H124" s="5"/>
      <c r="I124" s="3"/>
      <c r="J124" s="3"/>
      <c r="K124" s="3"/>
      <c r="L124" s="3"/>
      <c r="M124" s="41"/>
      <c r="N124" s="5"/>
      <c r="O124" s="42"/>
      <c r="P124" s="8"/>
      <c r="Q124" s="8"/>
      <c r="R124" s="5"/>
      <c r="S124" s="5"/>
      <c r="T124" s="3"/>
      <c r="U124" s="3"/>
      <c r="V124" s="3"/>
      <c r="W124" s="3"/>
      <c r="X124" s="5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</row>
    <row r="125" spans="1:75" s="36" customFormat="1" ht="18.75" customHeight="1">
      <c r="A125" s="5"/>
      <c r="B125" s="5"/>
      <c r="C125" s="5"/>
      <c r="D125" s="39"/>
      <c r="E125" s="40"/>
      <c r="F125" s="39"/>
      <c r="G125" s="5"/>
      <c r="H125" s="5"/>
      <c r="I125" s="3"/>
      <c r="J125" s="3"/>
      <c r="K125" s="3"/>
      <c r="L125" s="3"/>
      <c r="M125" s="41"/>
      <c r="N125" s="5"/>
      <c r="O125" s="42"/>
      <c r="P125" s="8"/>
      <c r="Q125" s="8"/>
      <c r="R125" s="5"/>
      <c r="S125" s="5"/>
      <c r="T125" s="3"/>
      <c r="U125" s="3"/>
      <c r="V125" s="3"/>
      <c r="W125" s="3"/>
      <c r="X125" s="5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</row>
    <row r="126" spans="1:75" s="36" customFormat="1" ht="18.75" customHeight="1">
      <c r="A126" s="5"/>
      <c r="B126" s="5"/>
      <c r="C126" s="5"/>
      <c r="D126" s="39"/>
      <c r="E126" s="40"/>
      <c r="F126" s="39"/>
      <c r="G126" s="5"/>
      <c r="H126" s="5"/>
      <c r="I126" s="3"/>
      <c r="J126" s="3"/>
      <c r="K126" s="3"/>
      <c r="L126" s="3"/>
      <c r="M126" s="41"/>
      <c r="N126" s="5"/>
      <c r="O126" s="42"/>
      <c r="P126" s="8"/>
      <c r="Q126" s="8"/>
      <c r="R126" s="5"/>
      <c r="S126" s="5"/>
      <c r="T126" s="3"/>
      <c r="U126" s="3"/>
      <c r="V126" s="3"/>
      <c r="W126" s="3"/>
      <c r="X126" s="5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</row>
    <row r="127" spans="1:75" s="36" customFormat="1" ht="18.75" customHeight="1">
      <c r="A127" s="5"/>
      <c r="B127" s="5"/>
      <c r="C127" s="5"/>
      <c r="D127" s="39"/>
      <c r="E127" s="40"/>
      <c r="F127" s="39"/>
      <c r="G127" s="5"/>
      <c r="H127" s="5"/>
      <c r="I127" s="3"/>
      <c r="J127" s="3"/>
      <c r="K127" s="3"/>
      <c r="L127" s="3"/>
      <c r="M127" s="41"/>
      <c r="N127" s="5"/>
      <c r="O127" s="42"/>
      <c r="P127" s="8"/>
      <c r="Q127" s="8"/>
      <c r="R127" s="5"/>
      <c r="S127" s="5"/>
      <c r="T127" s="3"/>
      <c r="U127" s="3"/>
      <c r="V127" s="3"/>
      <c r="W127" s="3"/>
      <c r="X127" s="5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</row>
    <row r="128" spans="1:75" s="36" customFormat="1" ht="18.75" customHeight="1">
      <c r="A128" s="5"/>
      <c r="B128" s="5"/>
      <c r="C128" s="5"/>
      <c r="D128" s="39"/>
      <c r="E128" s="40"/>
      <c r="F128" s="39"/>
      <c r="G128" s="5"/>
      <c r="H128" s="5"/>
      <c r="I128" s="3"/>
      <c r="J128" s="3"/>
      <c r="K128" s="3"/>
      <c r="L128" s="3"/>
      <c r="M128" s="41"/>
      <c r="N128" s="5"/>
      <c r="O128" s="42"/>
      <c r="P128" s="8"/>
      <c r="Q128" s="8"/>
      <c r="R128" s="5"/>
      <c r="S128" s="5"/>
      <c r="T128" s="3"/>
      <c r="U128" s="3"/>
      <c r="V128" s="3"/>
      <c r="W128" s="3"/>
      <c r="X128" s="5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</row>
    <row r="129" spans="1:75" s="36" customFormat="1" ht="18.75" customHeight="1">
      <c r="A129" s="5"/>
      <c r="B129" s="5"/>
      <c r="C129" s="5"/>
      <c r="D129" s="39"/>
      <c r="E129" s="40"/>
      <c r="F129" s="39"/>
      <c r="G129" s="5"/>
      <c r="H129" s="5"/>
      <c r="I129" s="3"/>
      <c r="J129" s="3"/>
      <c r="K129" s="3"/>
      <c r="L129" s="3"/>
      <c r="M129" s="41"/>
      <c r="N129" s="5"/>
      <c r="O129" s="42"/>
      <c r="P129" s="8"/>
      <c r="Q129" s="8"/>
      <c r="R129" s="5"/>
      <c r="S129" s="5"/>
      <c r="T129" s="3"/>
      <c r="U129" s="3"/>
      <c r="V129" s="3"/>
      <c r="W129" s="3"/>
      <c r="X129" s="5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</row>
    <row r="130" spans="1:75" s="36" customFormat="1" ht="18.75" customHeight="1">
      <c r="A130" s="5"/>
      <c r="B130" s="5"/>
      <c r="C130" s="5"/>
      <c r="D130" s="39"/>
      <c r="E130" s="40"/>
      <c r="F130" s="39"/>
      <c r="G130" s="5"/>
      <c r="H130" s="5"/>
      <c r="I130" s="3"/>
      <c r="J130" s="3"/>
      <c r="K130" s="3"/>
      <c r="L130" s="3"/>
      <c r="M130" s="41"/>
      <c r="N130" s="5"/>
      <c r="O130" s="42"/>
      <c r="P130" s="8"/>
      <c r="Q130" s="8"/>
      <c r="R130" s="5"/>
      <c r="S130" s="5"/>
      <c r="T130" s="3"/>
      <c r="U130" s="3"/>
      <c r="V130" s="3"/>
      <c r="W130" s="3"/>
      <c r="X130" s="5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</row>
    <row r="131" spans="1:75" s="36" customFormat="1" ht="18.75" customHeight="1">
      <c r="A131" s="5"/>
      <c r="B131" s="5"/>
      <c r="C131" s="5"/>
      <c r="D131" s="39"/>
      <c r="E131" s="40"/>
      <c r="F131" s="39"/>
      <c r="G131" s="5"/>
      <c r="H131" s="5"/>
      <c r="I131" s="3"/>
      <c r="J131" s="3"/>
      <c r="K131" s="3"/>
      <c r="L131" s="3"/>
      <c r="M131" s="41"/>
      <c r="N131" s="5"/>
      <c r="O131" s="42"/>
      <c r="P131" s="8"/>
      <c r="Q131" s="8"/>
      <c r="R131" s="5"/>
      <c r="S131" s="5"/>
      <c r="T131" s="3"/>
      <c r="U131" s="3"/>
      <c r="V131" s="3"/>
      <c r="W131" s="3"/>
      <c r="X131" s="5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</row>
    <row r="132" spans="1:75" s="36" customFormat="1" ht="18.75" customHeight="1">
      <c r="A132" s="5"/>
      <c r="B132" s="5"/>
      <c r="C132" s="5"/>
      <c r="D132" s="39"/>
      <c r="E132" s="40"/>
      <c r="F132" s="39"/>
      <c r="G132" s="5"/>
      <c r="H132" s="5"/>
      <c r="I132" s="3"/>
      <c r="J132" s="3"/>
      <c r="K132" s="3"/>
      <c r="L132" s="3"/>
      <c r="M132" s="41"/>
      <c r="N132" s="5"/>
      <c r="O132" s="42"/>
      <c r="P132" s="8"/>
      <c r="Q132" s="8"/>
      <c r="R132" s="5"/>
      <c r="S132" s="5"/>
      <c r="T132" s="3"/>
      <c r="U132" s="3"/>
      <c r="V132" s="3"/>
      <c r="W132" s="3"/>
      <c r="X132" s="5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</row>
    <row r="133" spans="1:75" s="36" customFormat="1" ht="18.75" customHeight="1">
      <c r="A133" s="5"/>
      <c r="B133" s="5"/>
      <c r="C133" s="5"/>
      <c r="D133" s="39"/>
      <c r="E133" s="40"/>
      <c r="F133" s="39"/>
      <c r="G133" s="5"/>
      <c r="H133" s="5"/>
      <c r="I133" s="3"/>
      <c r="J133" s="3"/>
      <c r="K133" s="3"/>
      <c r="L133" s="3"/>
      <c r="M133" s="41"/>
      <c r="N133" s="5"/>
      <c r="O133" s="42"/>
      <c r="P133" s="8"/>
      <c r="Q133" s="8"/>
      <c r="R133" s="5"/>
      <c r="S133" s="5"/>
      <c r="T133" s="3"/>
      <c r="U133" s="3"/>
      <c r="V133" s="3"/>
      <c r="W133" s="3"/>
      <c r="X133" s="5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</row>
    <row r="134" spans="1:75" s="36" customFormat="1" ht="18.75" customHeight="1">
      <c r="A134" s="5"/>
      <c r="B134" s="5"/>
      <c r="C134" s="5"/>
      <c r="D134" s="39"/>
      <c r="E134" s="40"/>
      <c r="F134" s="39"/>
      <c r="G134" s="5"/>
      <c r="H134" s="5"/>
      <c r="I134" s="3"/>
      <c r="J134" s="3"/>
      <c r="K134" s="3"/>
      <c r="L134" s="3"/>
      <c r="M134" s="41"/>
      <c r="N134" s="5"/>
      <c r="O134" s="42"/>
      <c r="P134" s="8"/>
      <c r="Q134" s="8"/>
      <c r="R134" s="5"/>
      <c r="S134" s="5"/>
      <c r="T134" s="3"/>
      <c r="U134" s="3"/>
      <c r="V134" s="3"/>
      <c r="W134" s="3"/>
      <c r="X134" s="5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</row>
    <row r="135" spans="1:75" s="36" customFormat="1">
      <c r="A135" s="5"/>
      <c r="B135" s="5"/>
      <c r="C135" s="5"/>
      <c r="D135" s="39"/>
      <c r="E135" s="40"/>
      <c r="F135" s="39"/>
      <c r="G135" s="5"/>
      <c r="H135" s="5"/>
      <c r="I135" s="3"/>
      <c r="J135" s="3"/>
      <c r="K135" s="3"/>
      <c r="L135" s="3"/>
      <c r="M135" s="41"/>
      <c r="N135" s="5"/>
      <c r="O135" s="42"/>
      <c r="P135" s="8"/>
      <c r="Q135" s="8"/>
      <c r="R135" s="5"/>
      <c r="S135" s="5"/>
      <c r="T135" s="3"/>
      <c r="U135" s="3"/>
      <c r="V135" s="3"/>
      <c r="W135" s="3"/>
      <c r="X135" s="5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</row>
    <row r="136" spans="1:75" s="36" customFormat="1">
      <c r="A136" s="5"/>
      <c r="B136" s="5"/>
      <c r="C136" s="5"/>
      <c r="D136" s="39"/>
      <c r="E136" s="40"/>
      <c r="F136" s="39"/>
      <c r="G136" s="5"/>
      <c r="H136" s="5"/>
      <c r="I136" s="3"/>
      <c r="J136" s="3"/>
      <c r="K136" s="3"/>
      <c r="L136" s="3"/>
      <c r="M136" s="41"/>
      <c r="N136" s="5"/>
      <c r="O136" s="42"/>
      <c r="P136" s="8"/>
      <c r="Q136" s="8"/>
      <c r="R136" s="5"/>
      <c r="S136" s="5"/>
      <c r="T136" s="3"/>
      <c r="U136" s="3"/>
      <c r="V136" s="3"/>
      <c r="W136" s="3"/>
      <c r="X136" s="5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</row>
    <row r="137" spans="1:75" s="36" customFormat="1">
      <c r="A137" s="5"/>
      <c r="B137" s="5"/>
      <c r="C137" s="5"/>
      <c r="D137" s="39"/>
      <c r="E137" s="40"/>
      <c r="F137" s="39"/>
      <c r="G137" s="5"/>
      <c r="H137" s="5"/>
      <c r="I137" s="3"/>
      <c r="J137" s="3"/>
      <c r="K137" s="3"/>
      <c r="L137" s="3"/>
      <c r="M137" s="41"/>
      <c r="N137" s="5"/>
      <c r="O137" s="42"/>
      <c r="P137" s="8"/>
      <c r="Q137" s="8"/>
      <c r="R137" s="5"/>
      <c r="S137" s="5"/>
      <c r="T137" s="3"/>
      <c r="U137" s="3"/>
      <c r="V137" s="3"/>
      <c r="W137" s="3"/>
      <c r="X137" s="5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</row>
    <row r="138" spans="1:75" s="36" customFormat="1">
      <c r="A138" s="5"/>
      <c r="B138" s="5"/>
      <c r="C138" s="5"/>
      <c r="D138" s="39"/>
      <c r="E138" s="40"/>
      <c r="F138" s="39"/>
      <c r="G138" s="5"/>
      <c r="H138" s="5"/>
      <c r="I138" s="3"/>
      <c r="J138" s="3"/>
      <c r="K138" s="3"/>
      <c r="L138" s="3"/>
      <c r="M138" s="41"/>
      <c r="N138" s="5"/>
      <c r="O138" s="42"/>
      <c r="P138" s="8"/>
      <c r="Q138" s="8"/>
      <c r="R138" s="5"/>
      <c r="S138" s="5"/>
      <c r="T138" s="3"/>
      <c r="U138" s="3"/>
      <c r="V138" s="3"/>
      <c r="W138" s="3"/>
      <c r="X138" s="5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</row>
    <row r="139" spans="1:75" s="36" customFormat="1">
      <c r="A139" s="5"/>
      <c r="B139" s="5"/>
      <c r="C139" s="5"/>
      <c r="D139" s="39"/>
      <c r="E139" s="40"/>
      <c r="F139" s="39"/>
      <c r="G139" s="5"/>
      <c r="H139" s="5"/>
      <c r="I139" s="3"/>
      <c r="J139" s="3"/>
      <c r="K139" s="3"/>
      <c r="L139" s="3"/>
      <c r="M139" s="41"/>
      <c r="N139" s="5"/>
      <c r="O139" s="42"/>
      <c r="P139" s="8"/>
      <c r="Q139" s="8"/>
      <c r="R139" s="5"/>
      <c r="S139" s="5"/>
      <c r="T139" s="3"/>
      <c r="U139" s="3"/>
      <c r="V139" s="3"/>
      <c r="W139" s="3"/>
      <c r="X139" s="5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</row>
    <row r="140" spans="1:75" s="36" customFormat="1">
      <c r="A140" s="5"/>
      <c r="B140" s="5"/>
      <c r="C140" s="5"/>
      <c r="D140" s="39"/>
      <c r="E140" s="40"/>
      <c r="F140" s="39"/>
      <c r="G140" s="5"/>
      <c r="H140" s="5"/>
      <c r="I140" s="3"/>
      <c r="J140" s="3"/>
      <c r="K140" s="3"/>
      <c r="L140" s="3"/>
      <c r="M140" s="41"/>
      <c r="N140" s="5"/>
      <c r="O140" s="42"/>
      <c r="P140" s="8"/>
      <c r="Q140" s="8"/>
      <c r="R140" s="5"/>
      <c r="S140" s="5"/>
      <c r="T140" s="3"/>
      <c r="U140" s="3"/>
      <c r="V140" s="3"/>
      <c r="W140" s="3"/>
      <c r="X140" s="5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</row>
    <row r="141" spans="1:75" s="36" customFormat="1">
      <c r="A141" s="5"/>
      <c r="B141" s="5"/>
      <c r="C141" s="5"/>
      <c r="D141" s="39"/>
      <c r="E141" s="40"/>
      <c r="F141" s="39"/>
      <c r="G141" s="5"/>
      <c r="H141" s="5"/>
      <c r="I141" s="3"/>
      <c r="J141" s="3"/>
      <c r="K141" s="3"/>
      <c r="L141" s="3"/>
      <c r="M141" s="41"/>
      <c r="N141" s="5"/>
      <c r="O141" s="42"/>
      <c r="P141" s="8"/>
      <c r="Q141" s="8"/>
      <c r="R141" s="5"/>
      <c r="S141" s="5"/>
      <c r="T141" s="3"/>
      <c r="U141" s="3"/>
      <c r="V141" s="3"/>
      <c r="W141" s="3"/>
      <c r="X141" s="5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</row>
    <row r="142" spans="1:75" s="36" customFormat="1">
      <c r="A142" s="5"/>
      <c r="B142" s="5"/>
      <c r="C142" s="5"/>
      <c r="D142" s="39"/>
      <c r="E142" s="40"/>
      <c r="F142" s="39"/>
      <c r="G142" s="5"/>
      <c r="H142" s="5"/>
      <c r="I142" s="3"/>
      <c r="J142" s="3"/>
      <c r="K142" s="3"/>
      <c r="L142" s="3"/>
      <c r="M142" s="41"/>
      <c r="N142" s="5"/>
      <c r="O142" s="42"/>
      <c r="P142" s="8"/>
      <c r="Q142" s="8"/>
      <c r="R142" s="5"/>
      <c r="S142" s="5"/>
      <c r="T142" s="3"/>
      <c r="U142" s="3"/>
      <c r="V142" s="3"/>
      <c r="W142" s="3"/>
      <c r="X142" s="5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</row>
    <row r="143" spans="1:75" s="36" customFormat="1">
      <c r="A143" s="5"/>
      <c r="B143" s="5"/>
      <c r="C143" s="5"/>
      <c r="D143" s="39"/>
      <c r="E143" s="40"/>
      <c r="F143" s="39"/>
      <c r="G143" s="5"/>
      <c r="H143" s="5"/>
      <c r="I143" s="3"/>
      <c r="J143" s="3"/>
      <c r="K143" s="3"/>
      <c r="L143" s="3"/>
      <c r="M143" s="41"/>
      <c r="N143" s="5"/>
      <c r="O143" s="42"/>
      <c r="P143" s="8"/>
      <c r="Q143" s="8"/>
      <c r="R143" s="5"/>
      <c r="S143" s="5"/>
      <c r="T143" s="3"/>
      <c r="U143" s="3"/>
      <c r="V143" s="3"/>
      <c r="W143" s="3"/>
      <c r="X143" s="5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</row>
    <row r="144" spans="1:75" s="36" customFormat="1">
      <c r="A144" s="5"/>
      <c r="B144" s="5"/>
      <c r="C144" s="5"/>
      <c r="D144" s="39"/>
      <c r="E144" s="40"/>
      <c r="F144" s="39"/>
      <c r="G144" s="5"/>
      <c r="H144" s="5"/>
      <c r="I144" s="3"/>
      <c r="J144" s="3"/>
      <c r="K144" s="3"/>
      <c r="L144" s="3"/>
      <c r="M144" s="41"/>
      <c r="N144" s="5"/>
      <c r="O144" s="42"/>
      <c r="P144" s="8"/>
      <c r="Q144" s="8"/>
      <c r="R144" s="5"/>
      <c r="S144" s="5"/>
      <c r="T144" s="3"/>
      <c r="U144" s="3"/>
      <c r="V144" s="3"/>
      <c r="W144" s="3"/>
      <c r="X144" s="5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</row>
    <row r="145" spans="1:75" s="36" customFormat="1">
      <c r="A145" s="5"/>
      <c r="B145" s="5"/>
      <c r="C145" s="5"/>
      <c r="D145" s="39"/>
      <c r="E145" s="40"/>
      <c r="F145" s="39"/>
      <c r="G145" s="5"/>
      <c r="H145" s="5"/>
      <c r="I145" s="3"/>
      <c r="J145" s="3"/>
      <c r="K145" s="3"/>
      <c r="L145" s="3"/>
      <c r="M145" s="41"/>
      <c r="N145" s="5"/>
      <c r="O145" s="42"/>
      <c r="P145" s="8"/>
      <c r="Q145" s="8"/>
      <c r="R145" s="5"/>
      <c r="S145" s="5"/>
      <c r="T145" s="3"/>
      <c r="U145" s="3"/>
      <c r="V145" s="3"/>
      <c r="W145" s="3"/>
      <c r="X145" s="5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</row>
    <row r="146" spans="1:75" s="36" customFormat="1">
      <c r="A146" s="5"/>
      <c r="B146" s="5"/>
      <c r="C146" s="5"/>
      <c r="D146" s="39"/>
      <c r="E146" s="40"/>
      <c r="F146" s="39"/>
      <c r="G146" s="5"/>
      <c r="H146" s="5"/>
      <c r="I146" s="3"/>
      <c r="J146" s="3"/>
      <c r="K146" s="3"/>
      <c r="L146" s="3"/>
      <c r="M146" s="41"/>
      <c r="N146" s="5"/>
      <c r="O146" s="42"/>
      <c r="P146" s="8"/>
      <c r="Q146" s="8"/>
      <c r="R146" s="5"/>
      <c r="S146" s="5"/>
      <c r="T146" s="3"/>
      <c r="U146" s="3"/>
      <c r="V146" s="3"/>
      <c r="W146" s="3"/>
      <c r="X146" s="5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</row>
    <row r="147" spans="1:75" s="36" customFormat="1">
      <c r="A147" s="5"/>
      <c r="B147" s="5"/>
      <c r="C147" s="5"/>
      <c r="D147" s="39"/>
      <c r="E147" s="40"/>
      <c r="F147" s="39"/>
      <c r="G147" s="5"/>
      <c r="H147" s="5"/>
      <c r="I147" s="3"/>
      <c r="J147" s="3"/>
      <c r="K147" s="3"/>
      <c r="L147" s="3"/>
      <c r="M147" s="41"/>
      <c r="N147" s="5"/>
      <c r="O147" s="42"/>
      <c r="P147" s="8"/>
      <c r="Q147" s="8"/>
      <c r="R147" s="5"/>
      <c r="S147" s="5"/>
      <c r="T147" s="3"/>
      <c r="U147" s="3"/>
      <c r="V147" s="3"/>
      <c r="W147" s="3"/>
      <c r="X147" s="5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</row>
    <row r="148" spans="1:75" s="36" customFormat="1">
      <c r="A148" s="61"/>
      <c r="B148" s="5"/>
      <c r="C148" s="5"/>
      <c r="D148" s="39"/>
      <c r="E148" s="40"/>
      <c r="F148" s="39"/>
      <c r="G148" s="5"/>
      <c r="H148" s="5"/>
      <c r="I148" s="3"/>
      <c r="J148" s="3"/>
      <c r="K148" s="3"/>
      <c r="L148" s="3"/>
      <c r="M148" s="41"/>
      <c r="N148" s="5"/>
      <c r="O148" s="42"/>
      <c r="P148" s="62"/>
      <c r="Q148" s="62"/>
      <c r="R148" s="5"/>
      <c r="S148" s="5"/>
      <c r="T148" s="3"/>
      <c r="U148" s="3"/>
      <c r="V148" s="3"/>
      <c r="W148" s="3"/>
      <c r="X148" s="61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</row>
    <row r="149" spans="1:75" s="36" customFormat="1">
      <c r="A149" s="61"/>
      <c r="B149" s="5"/>
      <c r="C149" s="5"/>
      <c r="D149" s="39"/>
      <c r="E149" s="40"/>
      <c r="F149" s="39"/>
      <c r="G149" s="5"/>
      <c r="H149" s="5"/>
      <c r="I149" s="3"/>
      <c r="J149" s="3"/>
      <c r="K149" s="3"/>
      <c r="L149" s="3"/>
      <c r="M149" s="41"/>
      <c r="N149" s="5"/>
      <c r="O149" s="42"/>
      <c r="P149" s="62"/>
      <c r="Q149" s="62"/>
      <c r="R149" s="5"/>
      <c r="S149" s="5"/>
      <c r="T149" s="3"/>
      <c r="U149" s="3"/>
      <c r="V149" s="3"/>
      <c r="W149" s="3"/>
      <c r="X149" s="61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</row>
    <row r="150" spans="1:75" s="36" customFormat="1">
      <c r="A150" s="61"/>
      <c r="B150" s="5"/>
      <c r="C150" s="5"/>
      <c r="D150" s="39"/>
      <c r="E150" s="40"/>
      <c r="F150" s="39"/>
      <c r="G150" s="5"/>
      <c r="H150" s="5"/>
      <c r="I150" s="3"/>
      <c r="J150" s="3"/>
      <c r="K150" s="3"/>
      <c r="L150" s="3"/>
      <c r="M150" s="41"/>
      <c r="N150" s="5"/>
      <c r="O150" s="42"/>
      <c r="P150" s="62"/>
      <c r="Q150" s="62"/>
      <c r="R150" s="5"/>
      <c r="S150" s="5"/>
      <c r="T150" s="3"/>
      <c r="U150" s="3"/>
      <c r="V150" s="3"/>
      <c r="W150" s="3"/>
      <c r="X150" s="61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</row>
    <row r="151" spans="1:75" s="36" customFormat="1">
      <c r="A151" s="61"/>
      <c r="B151" s="5"/>
      <c r="C151" s="5"/>
      <c r="D151" s="39"/>
      <c r="E151" s="40"/>
      <c r="F151" s="39"/>
      <c r="G151" s="5"/>
      <c r="H151" s="5"/>
      <c r="I151" s="3"/>
      <c r="J151" s="3"/>
      <c r="K151" s="3"/>
      <c r="L151" s="3"/>
      <c r="M151" s="41"/>
      <c r="N151" s="5"/>
      <c r="O151" s="42"/>
      <c r="P151" s="62"/>
      <c r="Q151" s="62"/>
      <c r="R151" s="5"/>
      <c r="S151" s="5"/>
      <c r="T151" s="3"/>
      <c r="U151" s="3"/>
      <c r="V151" s="3"/>
      <c r="W151" s="3"/>
      <c r="X151" s="61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</row>
    <row r="152" spans="1:75" s="36" customFormat="1">
      <c r="A152" s="61"/>
      <c r="B152" s="5"/>
      <c r="C152" s="5"/>
      <c r="D152" s="39"/>
      <c r="E152" s="40"/>
      <c r="F152" s="39"/>
      <c r="G152" s="5"/>
      <c r="H152" s="5"/>
      <c r="I152" s="3"/>
      <c r="J152" s="3"/>
      <c r="K152" s="3"/>
      <c r="L152" s="3"/>
      <c r="M152" s="41"/>
      <c r="N152" s="5"/>
      <c r="O152" s="42"/>
      <c r="P152" s="62"/>
      <c r="Q152" s="62"/>
      <c r="R152" s="5"/>
      <c r="S152" s="5"/>
      <c r="T152" s="3"/>
      <c r="U152" s="3"/>
      <c r="V152" s="3"/>
      <c r="W152" s="3"/>
      <c r="X152" s="61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</row>
    <row r="153" spans="1:75" s="36" customFormat="1">
      <c r="A153" s="61"/>
      <c r="B153" s="5"/>
      <c r="C153" s="5"/>
      <c r="D153" s="39"/>
      <c r="E153" s="40"/>
      <c r="F153" s="39"/>
      <c r="G153" s="5"/>
      <c r="H153" s="5"/>
      <c r="I153" s="3"/>
      <c r="J153" s="3"/>
      <c r="K153" s="3"/>
      <c r="L153" s="3"/>
      <c r="M153" s="41"/>
      <c r="N153" s="5"/>
      <c r="O153" s="42"/>
      <c r="P153" s="62"/>
      <c r="Q153" s="62"/>
      <c r="R153" s="5"/>
      <c r="S153" s="5"/>
      <c r="T153" s="3"/>
      <c r="U153" s="3"/>
      <c r="V153" s="3"/>
      <c r="W153" s="3"/>
      <c r="X153" s="61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</row>
    <row r="154" spans="1:75" s="36" customFormat="1">
      <c r="A154" s="61"/>
      <c r="B154" s="5"/>
      <c r="C154" s="5"/>
      <c r="D154" s="39"/>
      <c r="E154" s="40"/>
      <c r="F154" s="39"/>
      <c r="G154" s="5"/>
      <c r="H154" s="5"/>
      <c r="I154" s="3"/>
      <c r="J154" s="3"/>
      <c r="K154" s="3"/>
      <c r="L154" s="3"/>
      <c r="M154" s="41"/>
      <c r="N154" s="5"/>
      <c r="O154" s="42"/>
      <c r="P154" s="62"/>
      <c r="Q154" s="62"/>
      <c r="R154" s="5"/>
      <c r="S154" s="5"/>
      <c r="T154" s="3"/>
      <c r="U154" s="3"/>
      <c r="V154" s="3"/>
      <c r="W154" s="3"/>
      <c r="X154" s="61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</row>
    <row r="155" spans="1:75" s="36" customFormat="1">
      <c r="A155" s="61"/>
      <c r="B155" s="5"/>
      <c r="C155" s="5"/>
      <c r="D155" s="39"/>
      <c r="E155" s="40"/>
      <c r="F155" s="39"/>
      <c r="G155" s="5"/>
      <c r="H155" s="5"/>
      <c r="I155" s="3"/>
      <c r="J155" s="3"/>
      <c r="K155" s="3"/>
      <c r="L155" s="3"/>
      <c r="M155" s="41"/>
      <c r="N155" s="5"/>
      <c r="O155" s="42"/>
      <c r="P155" s="62"/>
      <c r="Q155" s="62"/>
      <c r="R155" s="5"/>
      <c r="S155" s="5"/>
      <c r="T155" s="3"/>
      <c r="U155" s="3"/>
      <c r="V155" s="3"/>
      <c r="W155" s="3"/>
      <c r="X155" s="61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</row>
    <row r="156" spans="1:75" s="36" customFormat="1">
      <c r="A156" s="61"/>
      <c r="B156" s="5"/>
      <c r="C156" s="5"/>
      <c r="D156" s="39"/>
      <c r="E156" s="40"/>
      <c r="F156" s="39"/>
      <c r="G156" s="5"/>
      <c r="H156" s="5"/>
      <c r="I156" s="3"/>
      <c r="J156" s="3"/>
      <c r="K156" s="3"/>
      <c r="L156" s="3"/>
      <c r="M156" s="41"/>
      <c r="N156" s="5"/>
      <c r="O156" s="42"/>
      <c r="P156" s="62"/>
      <c r="Q156" s="62"/>
      <c r="R156" s="5"/>
      <c r="S156" s="5"/>
      <c r="T156" s="3"/>
      <c r="U156" s="3"/>
      <c r="V156" s="3"/>
      <c r="W156" s="3"/>
      <c r="X156" s="61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</row>
    <row r="157" spans="1:75" s="36" customFormat="1">
      <c r="A157" s="61"/>
      <c r="B157" s="5"/>
      <c r="C157" s="5"/>
      <c r="D157" s="39"/>
      <c r="E157" s="40"/>
      <c r="F157" s="39"/>
      <c r="G157" s="5"/>
      <c r="H157" s="5"/>
      <c r="I157" s="3"/>
      <c r="J157" s="3"/>
      <c r="K157" s="3"/>
      <c r="L157" s="3"/>
      <c r="M157" s="41"/>
      <c r="N157" s="5"/>
      <c r="O157" s="42"/>
      <c r="P157" s="62"/>
      <c r="Q157" s="62"/>
      <c r="R157" s="5"/>
      <c r="S157" s="5"/>
      <c r="T157" s="3"/>
      <c r="U157" s="3"/>
      <c r="V157" s="3"/>
      <c r="W157" s="3"/>
      <c r="X157" s="61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</row>
    <row r="158" spans="1:75" s="36" customFormat="1">
      <c r="A158" s="61"/>
      <c r="B158" s="5"/>
      <c r="C158" s="5"/>
      <c r="D158" s="39"/>
      <c r="E158" s="40"/>
      <c r="F158" s="39"/>
      <c r="G158" s="5"/>
      <c r="H158" s="5"/>
      <c r="I158" s="3"/>
      <c r="J158" s="3"/>
      <c r="K158" s="3"/>
      <c r="L158" s="3"/>
      <c r="M158" s="41"/>
      <c r="N158" s="5"/>
      <c r="O158" s="42"/>
      <c r="P158" s="62"/>
      <c r="Q158" s="62"/>
      <c r="R158" s="5"/>
      <c r="S158" s="5"/>
      <c r="T158" s="3"/>
      <c r="U158" s="3"/>
      <c r="V158" s="3"/>
      <c r="W158" s="3"/>
      <c r="X158" s="61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</row>
    <row r="159" spans="1:75" s="36" customFormat="1">
      <c r="A159" s="61"/>
      <c r="B159" s="5"/>
      <c r="C159" s="5"/>
      <c r="D159" s="39"/>
      <c r="E159" s="40"/>
      <c r="F159" s="39"/>
      <c r="G159" s="5"/>
      <c r="H159" s="5"/>
      <c r="I159" s="3"/>
      <c r="J159" s="3"/>
      <c r="K159" s="3"/>
      <c r="L159" s="3"/>
      <c r="M159" s="41"/>
      <c r="N159" s="5"/>
      <c r="O159" s="42"/>
      <c r="P159" s="62"/>
      <c r="Q159" s="62"/>
      <c r="R159" s="5"/>
      <c r="S159" s="5"/>
      <c r="T159" s="3"/>
      <c r="U159" s="3"/>
      <c r="V159" s="3"/>
      <c r="W159" s="3"/>
      <c r="X159" s="61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</row>
    <row r="160" spans="1:75" s="36" customFormat="1">
      <c r="A160" s="61"/>
      <c r="B160" s="5"/>
      <c r="C160" s="5"/>
      <c r="D160" s="39"/>
      <c r="E160" s="40"/>
      <c r="F160" s="39"/>
      <c r="G160" s="5"/>
      <c r="H160" s="5"/>
      <c r="I160" s="3"/>
      <c r="J160" s="3"/>
      <c r="K160" s="3"/>
      <c r="L160" s="3"/>
      <c r="M160" s="41"/>
      <c r="N160" s="5"/>
      <c r="O160" s="42"/>
      <c r="P160" s="62"/>
      <c r="Q160" s="62"/>
      <c r="R160" s="5"/>
      <c r="S160" s="5"/>
      <c r="T160" s="3"/>
      <c r="U160" s="3"/>
      <c r="V160" s="3"/>
      <c r="W160" s="3"/>
      <c r="X160" s="61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</row>
    <row r="161" spans="1:75" s="36" customFormat="1">
      <c r="A161" s="61"/>
      <c r="B161" s="5"/>
      <c r="C161" s="5"/>
      <c r="D161" s="39"/>
      <c r="E161" s="40"/>
      <c r="F161" s="39"/>
      <c r="G161" s="5"/>
      <c r="H161" s="5"/>
      <c r="I161" s="3"/>
      <c r="J161" s="3"/>
      <c r="K161" s="3"/>
      <c r="L161" s="3"/>
      <c r="M161" s="41"/>
      <c r="N161" s="5"/>
      <c r="O161" s="42"/>
      <c r="P161" s="62"/>
      <c r="Q161" s="62"/>
      <c r="R161" s="5"/>
      <c r="S161" s="5"/>
      <c r="T161" s="3"/>
      <c r="U161" s="3"/>
      <c r="V161" s="3"/>
      <c r="W161" s="3"/>
      <c r="X161" s="61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</row>
    <row r="162" spans="1:75" s="36" customFormat="1">
      <c r="A162" s="61"/>
      <c r="B162" s="5"/>
      <c r="C162" s="5"/>
      <c r="D162" s="39"/>
      <c r="E162" s="40"/>
      <c r="F162" s="39"/>
      <c r="G162" s="5"/>
      <c r="H162" s="5"/>
      <c r="I162" s="3"/>
      <c r="J162" s="3"/>
      <c r="K162" s="3"/>
      <c r="L162" s="3"/>
      <c r="M162" s="41"/>
      <c r="N162" s="5"/>
      <c r="O162" s="42"/>
      <c r="P162" s="62"/>
      <c r="Q162" s="62"/>
      <c r="R162" s="5"/>
      <c r="S162" s="5"/>
      <c r="T162" s="3"/>
      <c r="U162" s="3"/>
      <c r="V162" s="3"/>
      <c r="W162" s="3"/>
      <c r="X162" s="61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</row>
    <row r="163" spans="1:75" s="36" customFormat="1">
      <c r="A163" s="61"/>
      <c r="B163" s="5"/>
      <c r="C163" s="5"/>
      <c r="D163" s="39"/>
      <c r="E163" s="40"/>
      <c r="F163" s="39"/>
      <c r="G163" s="5"/>
      <c r="H163" s="5"/>
      <c r="I163" s="3"/>
      <c r="J163" s="3"/>
      <c r="K163" s="3"/>
      <c r="L163" s="3"/>
      <c r="M163" s="41"/>
      <c r="N163" s="5"/>
      <c r="O163" s="42"/>
      <c r="P163" s="62"/>
      <c r="Q163" s="62"/>
      <c r="R163" s="5"/>
      <c r="S163" s="5"/>
      <c r="T163" s="3"/>
      <c r="U163" s="3"/>
      <c r="V163" s="3"/>
      <c r="W163" s="3"/>
      <c r="X163" s="61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</row>
    <row r="164" spans="1:75" s="36" customFormat="1">
      <c r="A164" s="61"/>
      <c r="B164" s="5"/>
      <c r="C164" s="5"/>
      <c r="D164" s="39"/>
      <c r="E164" s="40"/>
      <c r="F164" s="39"/>
      <c r="G164" s="5"/>
      <c r="H164" s="5"/>
      <c r="I164" s="3"/>
      <c r="J164" s="3"/>
      <c r="K164" s="3"/>
      <c r="L164" s="3"/>
      <c r="M164" s="41"/>
      <c r="N164" s="5"/>
      <c r="O164" s="42"/>
      <c r="P164" s="62"/>
      <c r="Q164" s="62"/>
      <c r="R164" s="5"/>
      <c r="S164" s="5"/>
      <c r="T164" s="3"/>
      <c r="U164" s="3"/>
      <c r="V164" s="3"/>
      <c r="W164" s="3"/>
      <c r="X164" s="61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</row>
    <row r="165" spans="1:75" s="36" customFormat="1">
      <c r="A165" s="61"/>
      <c r="B165" s="5"/>
      <c r="C165" s="5"/>
      <c r="D165" s="39"/>
      <c r="E165" s="40"/>
      <c r="F165" s="39"/>
      <c r="G165" s="5"/>
      <c r="H165" s="5"/>
      <c r="I165" s="3"/>
      <c r="J165" s="3"/>
      <c r="K165" s="3"/>
      <c r="L165" s="3"/>
      <c r="M165" s="41"/>
      <c r="N165" s="5"/>
      <c r="O165" s="42"/>
      <c r="P165" s="62"/>
      <c r="Q165" s="62"/>
      <c r="R165" s="5"/>
      <c r="S165" s="5"/>
      <c r="T165" s="3"/>
      <c r="U165" s="3"/>
      <c r="V165" s="3"/>
      <c r="W165" s="3"/>
      <c r="X165" s="61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</row>
    <row r="166" spans="1:75" s="36" customFormat="1">
      <c r="A166" s="61"/>
      <c r="B166" s="5"/>
      <c r="C166" s="5"/>
      <c r="D166" s="39"/>
      <c r="E166" s="40"/>
      <c r="F166" s="39"/>
      <c r="G166" s="5"/>
      <c r="H166" s="5"/>
      <c r="I166" s="3"/>
      <c r="J166" s="3"/>
      <c r="K166" s="3"/>
      <c r="L166" s="3"/>
      <c r="M166" s="41"/>
      <c r="N166" s="5"/>
      <c r="O166" s="42"/>
      <c r="P166" s="62"/>
      <c r="Q166" s="62"/>
      <c r="R166" s="5"/>
      <c r="S166" s="5"/>
      <c r="T166" s="3"/>
      <c r="U166" s="3"/>
      <c r="V166" s="3"/>
      <c r="W166" s="3"/>
      <c r="X166" s="61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</row>
    <row r="167" spans="1:75" s="36" customFormat="1">
      <c r="A167" s="61"/>
      <c r="B167" s="5"/>
      <c r="C167" s="5"/>
      <c r="D167" s="39"/>
      <c r="E167" s="40"/>
      <c r="F167" s="39"/>
      <c r="G167" s="5"/>
      <c r="H167" s="5"/>
      <c r="I167" s="3"/>
      <c r="J167" s="3"/>
      <c r="K167" s="3"/>
      <c r="L167" s="3"/>
      <c r="M167" s="41"/>
      <c r="N167" s="5"/>
      <c r="O167" s="42"/>
      <c r="P167" s="62"/>
      <c r="Q167" s="62"/>
      <c r="R167" s="5"/>
      <c r="S167" s="5"/>
      <c r="T167" s="3"/>
      <c r="U167" s="3"/>
      <c r="V167" s="3"/>
      <c r="W167" s="3"/>
      <c r="X167" s="61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</row>
    <row r="168" spans="1:75" s="36" customFormat="1">
      <c r="A168" s="61"/>
      <c r="B168" s="5"/>
      <c r="C168" s="5"/>
      <c r="D168" s="39"/>
      <c r="E168" s="40"/>
      <c r="F168" s="39"/>
      <c r="G168" s="5"/>
      <c r="H168" s="5"/>
      <c r="I168" s="3"/>
      <c r="J168" s="3"/>
      <c r="K168" s="3"/>
      <c r="L168" s="3"/>
      <c r="M168" s="41"/>
      <c r="N168" s="5"/>
      <c r="O168" s="42"/>
      <c r="P168" s="62"/>
      <c r="Q168" s="62"/>
      <c r="R168" s="5"/>
      <c r="S168" s="5"/>
      <c r="T168" s="3"/>
      <c r="U168" s="3"/>
      <c r="V168" s="3"/>
      <c r="W168" s="3"/>
      <c r="X168" s="61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</row>
    <row r="169" spans="1:75" s="36" customFormat="1">
      <c r="A169" s="61"/>
      <c r="B169" s="5"/>
      <c r="C169" s="5"/>
      <c r="D169" s="39"/>
      <c r="E169" s="40"/>
      <c r="F169" s="39"/>
      <c r="G169" s="5"/>
      <c r="H169" s="5"/>
      <c r="I169" s="3"/>
      <c r="J169" s="3"/>
      <c r="K169" s="3"/>
      <c r="L169" s="3"/>
      <c r="M169" s="41"/>
      <c r="N169" s="5"/>
      <c r="O169" s="42"/>
      <c r="P169" s="62"/>
      <c r="Q169" s="62"/>
      <c r="R169" s="5"/>
      <c r="S169" s="5"/>
      <c r="T169" s="3"/>
      <c r="U169" s="3"/>
      <c r="V169" s="3"/>
      <c r="W169" s="3"/>
      <c r="X169" s="61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</row>
    <row r="170" spans="1:75" s="36" customFormat="1">
      <c r="A170" s="61"/>
      <c r="B170" s="5"/>
      <c r="C170" s="5"/>
      <c r="D170" s="39"/>
      <c r="E170" s="40"/>
      <c r="F170" s="39"/>
      <c r="G170" s="5"/>
      <c r="H170" s="5"/>
      <c r="I170" s="3"/>
      <c r="J170" s="3"/>
      <c r="K170" s="3"/>
      <c r="L170" s="3"/>
      <c r="M170" s="41"/>
      <c r="N170" s="5"/>
      <c r="O170" s="42"/>
      <c r="P170" s="62"/>
      <c r="Q170" s="62"/>
      <c r="R170" s="5"/>
      <c r="S170" s="5"/>
      <c r="T170" s="3"/>
      <c r="U170" s="3"/>
      <c r="V170" s="3"/>
      <c r="W170" s="3"/>
      <c r="X170" s="61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</row>
    <row r="171" spans="1:75" s="36" customFormat="1">
      <c r="A171" s="61"/>
      <c r="B171" s="5"/>
      <c r="C171" s="5"/>
      <c r="D171" s="39"/>
      <c r="E171" s="40"/>
      <c r="F171" s="39"/>
      <c r="G171" s="5"/>
      <c r="H171" s="5"/>
      <c r="I171" s="3"/>
      <c r="J171" s="3"/>
      <c r="K171" s="3"/>
      <c r="L171" s="3"/>
      <c r="M171" s="41"/>
      <c r="N171" s="5"/>
      <c r="O171" s="42"/>
      <c r="P171" s="62"/>
      <c r="Q171" s="62"/>
      <c r="R171" s="5"/>
      <c r="S171" s="5"/>
      <c r="T171" s="3"/>
      <c r="U171" s="3"/>
      <c r="V171" s="3"/>
      <c r="W171" s="3"/>
      <c r="X171" s="61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</row>
    <row r="172" spans="1:75" s="36" customFormat="1">
      <c r="A172" s="61"/>
      <c r="B172" s="5"/>
      <c r="C172" s="5"/>
      <c r="D172" s="39"/>
      <c r="E172" s="40"/>
      <c r="F172" s="39"/>
      <c r="G172" s="5"/>
      <c r="H172" s="5"/>
      <c r="I172" s="3"/>
      <c r="J172" s="3"/>
      <c r="K172" s="3"/>
      <c r="L172" s="3"/>
      <c r="M172" s="41"/>
      <c r="N172" s="5"/>
      <c r="O172" s="42"/>
      <c r="P172" s="62"/>
      <c r="Q172" s="62"/>
      <c r="R172" s="5"/>
      <c r="S172" s="5"/>
      <c r="T172" s="3"/>
      <c r="U172" s="3"/>
      <c r="V172" s="3"/>
      <c r="W172" s="3"/>
      <c r="X172" s="61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</row>
    <row r="173" spans="1:75" s="36" customFormat="1">
      <c r="A173" s="61"/>
      <c r="B173" s="5"/>
      <c r="C173" s="5"/>
      <c r="D173" s="39"/>
      <c r="E173" s="40"/>
      <c r="F173" s="39"/>
      <c r="G173" s="5"/>
      <c r="H173" s="5"/>
      <c r="I173" s="3"/>
      <c r="J173" s="3"/>
      <c r="K173" s="3"/>
      <c r="L173" s="3"/>
      <c r="M173" s="41"/>
      <c r="N173" s="5"/>
      <c r="O173" s="42"/>
      <c r="P173" s="62"/>
      <c r="Q173" s="62"/>
      <c r="R173" s="5"/>
      <c r="S173" s="5"/>
      <c r="T173" s="3"/>
      <c r="U173" s="3"/>
      <c r="V173" s="3"/>
      <c r="W173" s="3"/>
      <c r="X173" s="61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</row>
    <row r="174" spans="1:75" s="36" customFormat="1">
      <c r="A174" s="61"/>
      <c r="B174" s="5"/>
      <c r="C174" s="5"/>
      <c r="D174" s="39"/>
      <c r="E174" s="40"/>
      <c r="F174" s="39"/>
      <c r="G174" s="5"/>
      <c r="H174" s="5"/>
      <c r="I174" s="3"/>
      <c r="J174" s="3"/>
      <c r="K174" s="3"/>
      <c r="L174" s="3"/>
      <c r="M174" s="41"/>
      <c r="N174" s="5"/>
      <c r="O174" s="42"/>
      <c r="P174" s="62"/>
      <c r="Q174" s="62"/>
      <c r="R174" s="5"/>
      <c r="S174" s="5"/>
      <c r="T174" s="3"/>
      <c r="U174" s="3"/>
      <c r="V174" s="3"/>
      <c r="W174" s="3"/>
      <c r="X174" s="61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</row>
    <row r="175" spans="1:75" s="36" customFormat="1">
      <c r="A175" s="61"/>
      <c r="B175" s="5"/>
      <c r="C175" s="5"/>
      <c r="D175" s="39"/>
      <c r="E175" s="40"/>
      <c r="F175" s="39"/>
      <c r="G175" s="5"/>
      <c r="H175" s="5"/>
      <c r="I175" s="3"/>
      <c r="J175" s="3"/>
      <c r="K175" s="3"/>
      <c r="L175" s="3"/>
      <c r="M175" s="41"/>
      <c r="N175" s="5"/>
      <c r="O175" s="42"/>
      <c r="P175" s="62"/>
      <c r="Q175" s="62"/>
      <c r="R175" s="5"/>
      <c r="S175" s="5"/>
      <c r="T175" s="3"/>
      <c r="U175" s="3"/>
      <c r="V175" s="3"/>
      <c r="W175" s="3"/>
      <c r="X175" s="61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</row>
    <row r="176" spans="1:75" s="36" customFormat="1">
      <c r="A176" s="61"/>
      <c r="B176" s="5"/>
      <c r="C176" s="5"/>
      <c r="D176" s="39"/>
      <c r="E176" s="40"/>
      <c r="F176" s="39"/>
      <c r="G176" s="5"/>
      <c r="H176" s="5"/>
      <c r="I176" s="3"/>
      <c r="J176" s="3"/>
      <c r="K176" s="3"/>
      <c r="L176" s="3"/>
      <c r="M176" s="41"/>
      <c r="N176" s="5"/>
      <c r="O176" s="42"/>
      <c r="P176" s="62"/>
      <c r="Q176" s="62"/>
      <c r="R176" s="5"/>
      <c r="S176" s="5"/>
      <c r="T176" s="3"/>
      <c r="U176" s="3"/>
      <c r="V176" s="3"/>
      <c r="W176" s="3"/>
      <c r="X176" s="61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</row>
    <row r="177" spans="1:75" s="36" customFormat="1">
      <c r="A177" s="61"/>
      <c r="B177" s="5"/>
      <c r="C177" s="5"/>
      <c r="D177" s="39"/>
      <c r="E177" s="40"/>
      <c r="F177" s="39"/>
      <c r="G177" s="5"/>
      <c r="H177" s="5"/>
      <c r="I177" s="3"/>
      <c r="J177" s="3"/>
      <c r="K177" s="3"/>
      <c r="L177" s="3"/>
      <c r="M177" s="41"/>
      <c r="N177" s="5"/>
      <c r="O177" s="42"/>
      <c r="P177" s="62"/>
      <c r="Q177" s="62"/>
      <c r="R177" s="5"/>
      <c r="S177" s="5"/>
      <c r="T177" s="3"/>
      <c r="U177" s="3"/>
      <c r="V177" s="3"/>
      <c r="W177" s="3"/>
      <c r="X177" s="61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</row>
    <row r="178" spans="1:75" s="36" customFormat="1">
      <c r="A178" s="61"/>
      <c r="B178" s="5"/>
      <c r="C178" s="5"/>
      <c r="D178" s="39"/>
      <c r="E178" s="40"/>
      <c r="F178" s="39"/>
      <c r="G178" s="5"/>
      <c r="H178" s="5"/>
      <c r="I178" s="3"/>
      <c r="J178" s="3"/>
      <c r="K178" s="3"/>
      <c r="L178" s="3"/>
      <c r="M178" s="41"/>
      <c r="N178" s="5"/>
      <c r="O178" s="42"/>
      <c r="P178" s="62"/>
      <c r="Q178" s="62"/>
      <c r="R178" s="5"/>
      <c r="S178" s="5"/>
      <c r="T178" s="3"/>
      <c r="U178" s="3"/>
      <c r="V178" s="3"/>
      <c r="W178" s="3"/>
      <c r="X178" s="61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</row>
    <row r="179" spans="1:75" s="36" customFormat="1">
      <c r="A179" s="61"/>
      <c r="B179" s="5"/>
      <c r="C179" s="5"/>
      <c r="D179" s="39"/>
      <c r="E179" s="40"/>
      <c r="F179" s="39"/>
      <c r="G179" s="5"/>
      <c r="H179" s="5"/>
      <c r="I179" s="3"/>
      <c r="J179" s="3"/>
      <c r="K179" s="3"/>
      <c r="L179" s="3"/>
      <c r="M179" s="41"/>
      <c r="N179" s="5"/>
      <c r="O179" s="42"/>
      <c r="P179" s="62"/>
      <c r="Q179" s="62"/>
      <c r="R179" s="5"/>
      <c r="S179" s="5"/>
      <c r="T179" s="3"/>
      <c r="U179" s="3"/>
      <c r="V179" s="3"/>
      <c r="W179" s="3"/>
      <c r="X179" s="61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</row>
    <row r="180" spans="1:75" s="36" customFormat="1">
      <c r="A180" s="61"/>
      <c r="B180" s="5"/>
      <c r="C180" s="5"/>
      <c r="D180" s="39"/>
      <c r="E180" s="40"/>
      <c r="F180" s="39"/>
      <c r="G180" s="5"/>
      <c r="H180" s="5"/>
      <c r="I180" s="3"/>
      <c r="J180" s="3"/>
      <c r="K180" s="3"/>
      <c r="L180" s="3"/>
      <c r="M180" s="41"/>
      <c r="N180" s="5"/>
      <c r="O180" s="42"/>
      <c r="P180" s="62"/>
      <c r="Q180" s="62"/>
      <c r="R180" s="5"/>
      <c r="S180" s="5"/>
      <c r="T180" s="3"/>
      <c r="U180" s="3"/>
      <c r="V180" s="3"/>
      <c r="W180" s="3"/>
      <c r="X180" s="61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</row>
    <row r="181" spans="1:75" s="36" customFormat="1">
      <c r="A181" s="61"/>
      <c r="B181" s="5"/>
      <c r="C181" s="5"/>
      <c r="D181" s="39"/>
      <c r="E181" s="40"/>
      <c r="F181" s="39"/>
      <c r="G181" s="5"/>
      <c r="H181" s="5"/>
      <c r="I181" s="3"/>
      <c r="J181" s="3"/>
      <c r="K181" s="3"/>
      <c r="L181" s="3"/>
      <c r="M181" s="41"/>
      <c r="N181" s="5"/>
      <c r="O181" s="42"/>
      <c r="P181" s="62"/>
      <c r="Q181" s="62"/>
      <c r="R181" s="5"/>
      <c r="S181" s="5"/>
      <c r="T181" s="3"/>
      <c r="U181" s="3"/>
      <c r="V181" s="3"/>
      <c r="W181" s="3"/>
      <c r="X181" s="61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</row>
    <row r="182" spans="1:75" s="36" customFormat="1">
      <c r="A182" s="61"/>
      <c r="B182" s="5"/>
      <c r="C182" s="5"/>
      <c r="D182" s="39"/>
      <c r="E182" s="40"/>
      <c r="F182" s="39"/>
      <c r="G182" s="5"/>
      <c r="H182" s="5"/>
      <c r="I182" s="3"/>
      <c r="J182" s="3"/>
      <c r="K182" s="3"/>
      <c r="L182" s="3"/>
      <c r="M182" s="41"/>
      <c r="N182" s="5"/>
      <c r="O182" s="42"/>
      <c r="P182" s="62"/>
      <c r="Q182" s="62"/>
      <c r="R182" s="5"/>
      <c r="S182" s="5"/>
      <c r="T182" s="3"/>
      <c r="U182" s="3"/>
      <c r="V182" s="3"/>
      <c r="W182" s="3"/>
      <c r="X182" s="61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</row>
    <row r="183" spans="1:75" s="36" customFormat="1">
      <c r="A183" s="61"/>
      <c r="B183" s="5"/>
      <c r="C183" s="5"/>
      <c r="D183" s="39"/>
      <c r="E183" s="40"/>
      <c r="F183" s="39"/>
      <c r="G183" s="5"/>
      <c r="H183" s="5"/>
      <c r="I183" s="3"/>
      <c r="J183" s="3"/>
      <c r="K183" s="3"/>
      <c r="L183" s="3"/>
      <c r="M183" s="41"/>
      <c r="N183" s="5"/>
      <c r="O183" s="42"/>
      <c r="P183" s="62"/>
      <c r="Q183" s="62"/>
      <c r="R183" s="5"/>
      <c r="S183" s="5"/>
      <c r="T183" s="3"/>
      <c r="U183" s="3"/>
      <c r="V183" s="3"/>
      <c r="W183" s="3"/>
      <c r="X183" s="61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</row>
    <row r="184" spans="1:75" s="36" customFormat="1">
      <c r="A184" s="61"/>
      <c r="B184" s="5"/>
      <c r="C184" s="5"/>
      <c r="D184" s="39"/>
      <c r="E184" s="40"/>
      <c r="F184" s="39"/>
      <c r="G184" s="5"/>
      <c r="H184" s="5"/>
      <c r="I184" s="3"/>
      <c r="J184" s="3"/>
      <c r="K184" s="3"/>
      <c r="L184" s="3"/>
      <c r="M184" s="41"/>
      <c r="N184" s="5"/>
      <c r="O184" s="42"/>
      <c r="P184" s="62"/>
      <c r="Q184" s="62"/>
      <c r="R184" s="5"/>
      <c r="S184" s="5"/>
      <c r="T184" s="3"/>
      <c r="U184" s="3"/>
      <c r="V184" s="3"/>
      <c r="W184" s="3"/>
      <c r="X184" s="61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</row>
    <row r="185" spans="1:75" s="36" customFormat="1">
      <c r="A185" s="61"/>
      <c r="B185" s="5"/>
      <c r="C185" s="5"/>
      <c r="D185" s="39"/>
      <c r="E185" s="40"/>
      <c r="F185" s="39"/>
      <c r="G185" s="5"/>
      <c r="H185" s="5"/>
      <c r="I185" s="3"/>
      <c r="J185" s="3"/>
      <c r="K185" s="3"/>
      <c r="L185" s="3"/>
      <c r="M185" s="41"/>
      <c r="N185" s="5"/>
      <c r="O185" s="42"/>
      <c r="P185" s="62"/>
      <c r="Q185" s="62"/>
      <c r="R185" s="5"/>
      <c r="S185" s="5"/>
      <c r="T185" s="3"/>
      <c r="U185" s="3"/>
      <c r="V185" s="3"/>
      <c r="W185" s="3"/>
      <c r="X185" s="61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</row>
    <row r="186" spans="1:75" s="36" customFormat="1">
      <c r="A186" s="61"/>
      <c r="B186" s="5"/>
      <c r="C186" s="5"/>
      <c r="D186" s="39"/>
      <c r="E186" s="40"/>
      <c r="F186" s="39"/>
      <c r="G186" s="5"/>
      <c r="H186" s="5"/>
      <c r="I186" s="3"/>
      <c r="J186" s="3"/>
      <c r="K186" s="3"/>
      <c r="L186" s="3"/>
      <c r="M186" s="41"/>
      <c r="N186" s="5"/>
      <c r="O186" s="42"/>
      <c r="P186" s="62"/>
      <c r="Q186" s="62"/>
      <c r="R186" s="5"/>
      <c r="S186" s="5"/>
      <c r="T186" s="3"/>
      <c r="U186" s="3"/>
      <c r="V186" s="3"/>
      <c r="W186" s="3"/>
      <c r="X186" s="61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</row>
    <row r="187" spans="1:75" s="36" customFormat="1">
      <c r="A187" s="61"/>
      <c r="B187" s="5"/>
      <c r="C187" s="5"/>
      <c r="D187" s="39"/>
      <c r="E187" s="40"/>
      <c r="F187" s="39"/>
      <c r="G187" s="5"/>
      <c r="H187" s="5"/>
      <c r="I187" s="3"/>
      <c r="J187" s="3"/>
      <c r="K187" s="3"/>
      <c r="L187" s="3"/>
      <c r="M187" s="41"/>
      <c r="N187" s="5"/>
      <c r="O187" s="42"/>
      <c r="P187" s="62"/>
      <c r="Q187" s="62"/>
      <c r="R187" s="5"/>
      <c r="S187" s="5"/>
      <c r="T187" s="3"/>
      <c r="U187" s="3"/>
      <c r="V187" s="3"/>
      <c r="W187" s="3"/>
      <c r="X187" s="61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</row>
    <row r="188" spans="1:75" s="36" customFormat="1">
      <c r="A188" s="61"/>
      <c r="B188" s="5"/>
      <c r="C188" s="5"/>
      <c r="D188" s="39"/>
      <c r="E188" s="40"/>
      <c r="F188" s="39"/>
      <c r="G188" s="5"/>
      <c r="H188" s="5"/>
      <c r="I188" s="3"/>
      <c r="J188" s="3"/>
      <c r="K188" s="3"/>
      <c r="L188" s="3"/>
      <c r="M188" s="41"/>
      <c r="N188" s="5"/>
      <c r="O188" s="42"/>
      <c r="P188" s="62"/>
      <c r="Q188" s="62"/>
      <c r="R188" s="5"/>
      <c r="S188" s="5"/>
      <c r="T188" s="3"/>
      <c r="U188" s="3"/>
      <c r="V188" s="3"/>
      <c r="W188" s="3"/>
      <c r="X188" s="61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</row>
    <row r="189" spans="1:75" s="36" customFormat="1">
      <c r="A189" s="61"/>
      <c r="B189" s="5"/>
      <c r="C189" s="5"/>
      <c r="D189" s="39"/>
      <c r="E189" s="40"/>
      <c r="F189" s="39"/>
      <c r="G189" s="5"/>
      <c r="H189" s="5"/>
      <c r="I189" s="3"/>
      <c r="J189" s="3"/>
      <c r="K189" s="3"/>
      <c r="L189" s="3"/>
      <c r="M189" s="41"/>
      <c r="N189" s="5"/>
      <c r="O189" s="42"/>
      <c r="P189" s="62"/>
      <c r="Q189" s="62"/>
      <c r="R189" s="5"/>
      <c r="S189" s="5"/>
      <c r="T189" s="3"/>
      <c r="U189" s="3"/>
      <c r="V189" s="3"/>
      <c r="W189" s="3"/>
      <c r="X189" s="61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</row>
    <row r="190" spans="1:75" s="36" customFormat="1">
      <c r="A190" s="61"/>
      <c r="B190" s="5"/>
      <c r="C190" s="5"/>
      <c r="D190" s="39"/>
      <c r="E190" s="40"/>
      <c r="F190" s="39"/>
      <c r="G190" s="5"/>
      <c r="H190" s="5"/>
      <c r="I190" s="3"/>
      <c r="J190" s="3"/>
      <c r="K190" s="3"/>
      <c r="L190" s="3"/>
      <c r="M190" s="41"/>
      <c r="N190" s="5"/>
      <c r="O190" s="42"/>
      <c r="P190" s="62"/>
      <c r="Q190" s="62"/>
      <c r="R190" s="5"/>
      <c r="S190" s="5"/>
      <c r="T190" s="3"/>
      <c r="U190" s="3"/>
      <c r="V190" s="3"/>
      <c r="W190" s="3"/>
      <c r="X190" s="61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</row>
    <row r="191" spans="1:75" s="36" customFormat="1">
      <c r="A191" s="61"/>
      <c r="B191" s="5"/>
      <c r="C191" s="5"/>
      <c r="D191" s="39"/>
      <c r="E191" s="40"/>
      <c r="F191" s="39"/>
      <c r="G191" s="5"/>
      <c r="H191" s="5"/>
      <c r="I191" s="3"/>
      <c r="J191" s="3"/>
      <c r="K191" s="3"/>
      <c r="L191" s="3"/>
      <c r="M191" s="41"/>
      <c r="N191" s="5"/>
      <c r="O191" s="42"/>
      <c r="P191" s="62"/>
      <c r="Q191" s="62"/>
      <c r="R191" s="5"/>
      <c r="S191" s="5"/>
      <c r="T191" s="3"/>
      <c r="U191" s="3"/>
      <c r="V191" s="3"/>
      <c r="W191" s="3"/>
      <c r="X191" s="61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</row>
    <row r="192" spans="1:75" s="36" customFormat="1">
      <c r="A192" s="61"/>
      <c r="B192" s="5"/>
      <c r="C192" s="5"/>
      <c r="D192" s="39"/>
      <c r="E192" s="40"/>
      <c r="F192" s="39"/>
      <c r="G192" s="5"/>
      <c r="H192" s="5"/>
      <c r="I192" s="3"/>
      <c r="J192" s="3"/>
      <c r="K192" s="3"/>
      <c r="L192" s="3"/>
      <c r="M192" s="41"/>
      <c r="N192" s="5"/>
      <c r="O192" s="42"/>
      <c r="P192" s="62"/>
      <c r="Q192" s="62"/>
      <c r="R192" s="5"/>
      <c r="S192" s="5"/>
      <c r="T192" s="3"/>
      <c r="U192" s="3"/>
      <c r="V192" s="3"/>
      <c r="W192" s="3"/>
      <c r="X192" s="61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</row>
    <row r="193" spans="1:75" s="36" customFormat="1">
      <c r="A193" s="61"/>
      <c r="B193" s="5"/>
      <c r="C193" s="5"/>
      <c r="D193" s="39"/>
      <c r="E193" s="40"/>
      <c r="F193" s="39"/>
      <c r="G193" s="5"/>
      <c r="H193" s="5"/>
      <c r="I193" s="3"/>
      <c r="J193" s="3"/>
      <c r="K193" s="3"/>
      <c r="L193" s="3"/>
      <c r="M193" s="41"/>
      <c r="N193" s="5"/>
      <c r="O193" s="42"/>
      <c r="P193" s="62"/>
      <c r="Q193" s="62"/>
      <c r="R193" s="5"/>
      <c r="S193" s="5"/>
      <c r="T193" s="3"/>
      <c r="U193" s="3"/>
      <c r="V193" s="3"/>
      <c r="W193" s="3"/>
      <c r="X193" s="61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</row>
    <row r="194" spans="1:75" s="36" customFormat="1">
      <c r="A194" s="61"/>
      <c r="B194" s="5"/>
      <c r="C194" s="5"/>
      <c r="D194" s="39"/>
      <c r="E194" s="40"/>
      <c r="F194" s="39"/>
      <c r="G194" s="5"/>
      <c r="H194" s="5"/>
      <c r="I194" s="3"/>
      <c r="J194" s="3"/>
      <c r="K194" s="3"/>
      <c r="L194" s="3"/>
      <c r="M194" s="41"/>
      <c r="N194" s="5"/>
      <c r="O194" s="42"/>
      <c r="P194" s="62"/>
      <c r="Q194" s="62"/>
      <c r="R194" s="5"/>
      <c r="S194" s="5"/>
      <c r="T194" s="3"/>
      <c r="U194" s="3"/>
      <c r="V194" s="3"/>
      <c r="W194" s="3"/>
      <c r="X194" s="61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</row>
    <row r="195" spans="1:75" s="36" customFormat="1">
      <c r="A195" s="61"/>
      <c r="B195" s="5"/>
      <c r="C195" s="5"/>
      <c r="D195" s="39"/>
      <c r="E195" s="40"/>
      <c r="F195" s="39"/>
      <c r="G195" s="5"/>
      <c r="H195" s="5"/>
      <c r="I195" s="3"/>
      <c r="J195" s="3"/>
      <c r="K195" s="3"/>
      <c r="L195" s="3"/>
      <c r="M195" s="41"/>
      <c r="N195" s="5"/>
      <c r="O195" s="42"/>
      <c r="P195" s="62"/>
      <c r="Q195" s="62"/>
      <c r="R195" s="5"/>
      <c r="S195" s="5"/>
      <c r="T195" s="3"/>
      <c r="U195" s="3"/>
      <c r="V195" s="3"/>
      <c r="W195" s="3"/>
      <c r="X195" s="61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</row>
    <row r="196" spans="1:75" s="36" customFormat="1">
      <c r="A196" s="61"/>
      <c r="B196" s="5"/>
      <c r="C196" s="5"/>
      <c r="D196" s="39"/>
      <c r="E196" s="40"/>
      <c r="F196" s="39"/>
      <c r="G196" s="5"/>
      <c r="H196" s="5"/>
      <c r="I196" s="3"/>
      <c r="J196" s="3"/>
      <c r="K196" s="3"/>
      <c r="L196" s="3"/>
      <c r="M196" s="41"/>
      <c r="N196" s="5"/>
      <c r="O196" s="42"/>
      <c r="P196" s="62"/>
      <c r="Q196" s="62"/>
      <c r="R196" s="5"/>
      <c r="S196" s="5"/>
      <c r="T196" s="3"/>
      <c r="U196" s="3"/>
      <c r="V196" s="3"/>
      <c r="W196" s="3"/>
      <c r="X196" s="61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</row>
    <row r="197" spans="1:75" s="36" customFormat="1">
      <c r="A197" s="61"/>
      <c r="B197" s="5"/>
      <c r="C197" s="5"/>
      <c r="D197" s="39"/>
      <c r="E197" s="40"/>
      <c r="F197" s="39"/>
      <c r="G197" s="5"/>
      <c r="H197" s="5"/>
      <c r="I197" s="3"/>
      <c r="J197" s="3"/>
      <c r="K197" s="3"/>
      <c r="L197" s="3"/>
      <c r="M197" s="41"/>
      <c r="N197" s="5"/>
      <c r="O197" s="42"/>
      <c r="P197" s="62"/>
      <c r="Q197" s="62"/>
      <c r="R197" s="5"/>
      <c r="S197" s="5"/>
      <c r="T197" s="3"/>
      <c r="U197" s="3"/>
      <c r="V197" s="3"/>
      <c r="W197" s="3"/>
      <c r="X197" s="61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</row>
    <row r="198" spans="1:75" s="36" customFormat="1">
      <c r="A198" s="61"/>
      <c r="B198" s="5"/>
      <c r="C198" s="5"/>
      <c r="D198" s="39"/>
      <c r="E198" s="40"/>
      <c r="F198" s="39"/>
      <c r="G198" s="5"/>
      <c r="H198" s="5"/>
      <c r="I198" s="3"/>
      <c r="J198" s="3"/>
      <c r="K198" s="3"/>
      <c r="L198" s="3"/>
      <c r="M198" s="41"/>
      <c r="N198" s="5"/>
      <c r="O198" s="42"/>
      <c r="P198" s="62"/>
      <c r="Q198" s="62"/>
      <c r="R198" s="5"/>
      <c r="S198" s="5"/>
      <c r="T198" s="3"/>
      <c r="U198" s="3"/>
      <c r="V198" s="3"/>
      <c r="W198" s="3"/>
      <c r="X198" s="61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</row>
    <row r="199" spans="1:75" s="36" customFormat="1">
      <c r="A199" s="61"/>
      <c r="B199" s="5"/>
      <c r="C199" s="5"/>
      <c r="D199" s="39"/>
      <c r="E199" s="40"/>
      <c r="F199" s="39"/>
      <c r="G199" s="5"/>
      <c r="H199" s="5"/>
      <c r="I199" s="3"/>
      <c r="J199" s="3"/>
      <c r="K199" s="3"/>
      <c r="L199" s="3"/>
      <c r="M199" s="41"/>
      <c r="N199" s="5"/>
      <c r="O199" s="42"/>
      <c r="P199" s="62"/>
      <c r="Q199" s="62"/>
      <c r="R199" s="5"/>
      <c r="S199" s="5"/>
      <c r="T199" s="3"/>
      <c r="U199" s="3"/>
      <c r="V199" s="3"/>
      <c r="W199" s="3"/>
      <c r="X199" s="61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</row>
    <row r="200" spans="1:75" s="36" customFormat="1">
      <c r="A200" s="61"/>
      <c r="B200" s="5"/>
      <c r="C200" s="5"/>
      <c r="D200" s="39"/>
      <c r="E200" s="40"/>
      <c r="F200" s="39"/>
      <c r="G200" s="5"/>
      <c r="H200" s="5"/>
      <c r="I200" s="3"/>
      <c r="J200" s="3"/>
      <c r="K200" s="3"/>
      <c r="L200" s="3"/>
      <c r="M200" s="41"/>
      <c r="N200" s="5"/>
      <c r="O200" s="42"/>
      <c r="P200" s="62"/>
      <c r="Q200" s="62"/>
      <c r="R200" s="5"/>
      <c r="S200" s="5"/>
      <c r="T200" s="3"/>
      <c r="U200" s="3"/>
      <c r="V200" s="3"/>
      <c r="W200" s="3"/>
      <c r="X200" s="61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</row>
    <row r="201" spans="1:75" s="36" customFormat="1">
      <c r="A201" s="61"/>
      <c r="B201" s="5"/>
      <c r="C201" s="5"/>
      <c r="D201" s="39"/>
      <c r="E201" s="40"/>
      <c r="F201" s="39"/>
      <c r="G201" s="5"/>
      <c r="H201" s="5"/>
      <c r="I201" s="3"/>
      <c r="J201" s="3"/>
      <c r="K201" s="3"/>
      <c r="L201" s="3"/>
      <c r="M201" s="41"/>
      <c r="N201" s="5"/>
      <c r="O201" s="42"/>
      <c r="P201" s="62"/>
      <c r="Q201" s="62"/>
      <c r="R201" s="5"/>
      <c r="S201" s="5"/>
      <c r="T201" s="3"/>
      <c r="U201" s="3"/>
      <c r="V201" s="3"/>
      <c r="W201" s="3"/>
      <c r="X201" s="61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</row>
    <row r="202" spans="1:75" s="36" customFormat="1">
      <c r="A202" s="61"/>
      <c r="B202" s="5"/>
      <c r="C202" s="5"/>
      <c r="D202" s="39"/>
      <c r="E202" s="40"/>
      <c r="F202" s="39"/>
      <c r="G202" s="5"/>
      <c r="H202" s="5"/>
      <c r="I202" s="3"/>
      <c r="J202" s="3"/>
      <c r="K202" s="3"/>
      <c r="L202" s="3"/>
      <c r="M202" s="41"/>
      <c r="N202" s="5"/>
      <c r="O202" s="42"/>
      <c r="P202" s="62"/>
      <c r="Q202" s="62"/>
      <c r="R202" s="5"/>
      <c r="S202" s="5"/>
      <c r="T202" s="3"/>
      <c r="U202" s="3"/>
      <c r="V202" s="3"/>
      <c r="W202" s="3"/>
      <c r="X202" s="61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</row>
    <row r="203" spans="1:75" s="36" customFormat="1">
      <c r="A203" s="61"/>
      <c r="B203" s="5"/>
      <c r="C203" s="5"/>
      <c r="D203" s="39"/>
      <c r="E203" s="40"/>
      <c r="F203" s="39"/>
      <c r="G203" s="5"/>
      <c r="H203" s="5"/>
      <c r="I203" s="3"/>
      <c r="J203" s="3"/>
      <c r="K203" s="3"/>
      <c r="L203" s="3"/>
      <c r="M203" s="41"/>
      <c r="N203" s="5"/>
      <c r="O203" s="42"/>
      <c r="P203" s="62"/>
      <c r="Q203" s="62"/>
      <c r="R203" s="5"/>
      <c r="S203" s="5"/>
      <c r="T203" s="3"/>
      <c r="U203" s="3"/>
      <c r="V203" s="3"/>
      <c r="W203" s="3"/>
      <c r="X203" s="61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</row>
    <row r="204" spans="1:75" s="36" customFormat="1">
      <c r="A204" s="61"/>
      <c r="B204" s="5"/>
      <c r="C204" s="5"/>
      <c r="D204" s="39"/>
      <c r="E204" s="40"/>
      <c r="F204" s="39"/>
      <c r="G204" s="5"/>
      <c r="H204" s="5"/>
      <c r="I204" s="3"/>
      <c r="J204" s="3"/>
      <c r="K204" s="3"/>
      <c r="L204" s="3"/>
      <c r="M204" s="41"/>
      <c r="N204" s="5"/>
      <c r="O204" s="42"/>
      <c r="P204" s="62"/>
      <c r="Q204" s="62"/>
      <c r="R204" s="5"/>
      <c r="S204" s="5"/>
      <c r="T204" s="3"/>
      <c r="U204" s="3"/>
      <c r="V204" s="3"/>
      <c r="W204" s="3"/>
      <c r="X204" s="61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</row>
    <row r="205" spans="1:75" s="36" customFormat="1">
      <c r="A205" s="61"/>
      <c r="B205" s="5"/>
      <c r="C205" s="5"/>
      <c r="D205" s="39"/>
      <c r="E205" s="40"/>
      <c r="F205" s="39"/>
      <c r="G205" s="5"/>
      <c r="H205" s="5"/>
      <c r="I205" s="3"/>
      <c r="J205" s="3"/>
      <c r="K205" s="3"/>
      <c r="L205" s="3"/>
      <c r="M205" s="41"/>
      <c r="N205" s="5"/>
      <c r="O205" s="42"/>
      <c r="P205" s="62"/>
      <c r="Q205" s="62"/>
      <c r="R205" s="5"/>
      <c r="S205" s="5"/>
      <c r="T205" s="3"/>
      <c r="U205" s="3"/>
      <c r="V205" s="3"/>
      <c r="W205" s="3"/>
      <c r="X205" s="61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</row>
    <row r="206" spans="1:75" s="36" customFormat="1">
      <c r="A206" s="61"/>
      <c r="B206" s="5"/>
      <c r="C206" s="5"/>
      <c r="D206" s="39"/>
      <c r="E206" s="40"/>
      <c r="F206" s="39"/>
      <c r="G206" s="5"/>
      <c r="H206" s="5"/>
      <c r="I206" s="3"/>
      <c r="J206" s="3"/>
      <c r="K206" s="3"/>
      <c r="L206" s="3"/>
      <c r="M206" s="41"/>
      <c r="N206" s="5"/>
      <c r="O206" s="42"/>
      <c r="P206" s="62"/>
      <c r="Q206" s="62"/>
      <c r="R206" s="5"/>
      <c r="S206" s="5"/>
      <c r="T206" s="3"/>
      <c r="U206" s="3"/>
      <c r="V206" s="3"/>
      <c r="W206" s="3"/>
      <c r="X206" s="61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</row>
    <row r="207" spans="1:75" s="36" customFormat="1">
      <c r="A207" s="61"/>
      <c r="B207" s="5"/>
      <c r="C207" s="5"/>
      <c r="D207" s="39"/>
      <c r="E207" s="40"/>
      <c r="F207" s="39"/>
      <c r="G207" s="5"/>
      <c r="H207" s="5"/>
      <c r="I207" s="3"/>
      <c r="J207" s="3"/>
      <c r="K207" s="3"/>
      <c r="L207" s="3"/>
      <c r="M207" s="41"/>
      <c r="N207" s="5"/>
      <c r="O207" s="42"/>
      <c r="P207" s="62"/>
      <c r="Q207" s="62"/>
      <c r="R207" s="5"/>
      <c r="S207" s="5"/>
      <c r="T207" s="3"/>
      <c r="U207" s="3"/>
      <c r="V207" s="3"/>
      <c r="W207" s="3"/>
      <c r="X207" s="61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</row>
    <row r="208" spans="1:75" s="36" customFormat="1">
      <c r="A208" s="61"/>
      <c r="B208" s="5"/>
      <c r="C208" s="5"/>
      <c r="D208" s="39"/>
      <c r="E208" s="40"/>
      <c r="F208" s="39"/>
      <c r="G208" s="5"/>
      <c r="H208" s="5"/>
      <c r="I208" s="3"/>
      <c r="J208" s="3"/>
      <c r="K208" s="3"/>
      <c r="L208" s="3"/>
      <c r="M208" s="41"/>
      <c r="N208" s="5"/>
      <c r="O208" s="42"/>
      <c r="P208" s="62"/>
      <c r="Q208" s="62"/>
      <c r="R208" s="5"/>
      <c r="S208" s="5"/>
      <c r="T208" s="3"/>
      <c r="U208" s="3"/>
      <c r="V208" s="3"/>
      <c r="W208" s="3"/>
      <c r="X208" s="61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</row>
    <row r="209" spans="1:75" s="36" customFormat="1">
      <c r="A209" s="61"/>
      <c r="B209" s="5"/>
      <c r="C209" s="5"/>
      <c r="D209" s="39"/>
      <c r="E209" s="40"/>
      <c r="F209" s="39"/>
      <c r="G209" s="5"/>
      <c r="H209" s="5"/>
      <c r="I209" s="3"/>
      <c r="J209" s="3"/>
      <c r="K209" s="3"/>
      <c r="L209" s="3"/>
      <c r="M209" s="41"/>
      <c r="N209" s="5"/>
      <c r="O209" s="42"/>
      <c r="P209" s="62"/>
      <c r="Q209" s="62"/>
      <c r="R209" s="5"/>
      <c r="S209" s="5"/>
      <c r="T209" s="3"/>
      <c r="U209" s="3"/>
      <c r="V209" s="3"/>
      <c r="W209" s="3"/>
      <c r="X209" s="61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</row>
    <row r="210" spans="1:75" s="36" customFormat="1">
      <c r="A210" s="61"/>
      <c r="B210" s="5"/>
      <c r="C210" s="5"/>
      <c r="D210" s="39"/>
      <c r="E210" s="40"/>
      <c r="F210" s="39"/>
      <c r="G210" s="5"/>
      <c r="H210" s="5"/>
      <c r="I210" s="3"/>
      <c r="J210" s="3"/>
      <c r="K210" s="3"/>
      <c r="L210" s="3"/>
      <c r="M210" s="41"/>
      <c r="N210" s="5"/>
      <c r="O210" s="42"/>
      <c r="P210" s="62"/>
      <c r="Q210" s="62"/>
      <c r="R210" s="5"/>
      <c r="S210" s="5"/>
      <c r="T210" s="3"/>
      <c r="U210" s="3"/>
      <c r="V210" s="3"/>
      <c r="W210" s="3"/>
      <c r="X210" s="61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</row>
    <row r="211" spans="1:75" s="36" customFormat="1">
      <c r="A211" s="61"/>
      <c r="B211" s="5"/>
      <c r="C211" s="5"/>
      <c r="D211" s="39"/>
      <c r="E211" s="40"/>
      <c r="F211" s="39"/>
      <c r="G211" s="5"/>
      <c r="H211" s="5"/>
      <c r="I211" s="3"/>
      <c r="J211" s="3"/>
      <c r="K211" s="3"/>
      <c r="L211" s="3"/>
      <c r="M211" s="41"/>
      <c r="N211" s="5"/>
      <c r="O211" s="42"/>
      <c r="P211" s="62"/>
      <c r="Q211" s="62"/>
      <c r="R211" s="5"/>
      <c r="S211" s="5"/>
      <c r="T211" s="3"/>
      <c r="U211" s="3"/>
      <c r="V211" s="3"/>
      <c r="W211" s="3"/>
      <c r="X211" s="61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</row>
    <row r="212" spans="1:75" s="36" customFormat="1">
      <c r="A212" s="61"/>
      <c r="B212" s="5"/>
      <c r="C212" s="5"/>
      <c r="D212" s="39"/>
      <c r="E212" s="40"/>
      <c r="F212" s="39"/>
      <c r="G212" s="5"/>
      <c r="H212" s="5"/>
      <c r="I212" s="3"/>
      <c r="J212" s="3"/>
      <c r="K212" s="3"/>
      <c r="L212" s="3"/>
      <c r="M212" s="41"/>
      <c r="N212" s="5"/>
      <c r="O212" s="42"/>
      <c r="P212" s="62"/>
      <c r="Q212" s="62"/>
      <c r="R212" s="5"/>
      <c r="S212" s="5"/>
      <c r="T212" s="3"/>
      <c r="U212" s="3"/>
      <c r="V212" s="3"/>
      <c r="W212" s="3"/>
      <c r="X212" s="61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</row>
    <row r="213" spans="1:75" s="36" customFormat="1">
      <c r="A213" s="61"/>
      <c r="B213" s="5"/>
      <c r="C213" s="5"/>
      <c r="D213" s="39"/>
      <c r="E213" s="40"/>
      <c r="F213" s="39"/>
      <c r="G213" s="5"/>
      <c r="H213" s="5"/>
      <c r="I213" s="3"/>
      <c r="J213" s="3"/>
      <c r="K213" s="3"/>
      <c r="L213" s="3"/>
      <c r="M213" s="41"/>
      <c r="N213" s="5"/>
      <c r="O213" s="42"/>
      <c r="P213" s="62"/>
      <c r="Q213" s="62"/>
      <c r="R213" s="5"/>
      <c r="S213" s="5"/>
      <c r="T213" s="3"/>
      <c r="U213" s="3"/>
      <c r="V213" s="3"/>
      <c r="W213" s="3"/>
      <c r="X213" s="61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3"/>
      <c r="BW213" s="43"/>
    </row>
    <row r="214" spans="1:75" s="36" customFormat="1">
      <c r="A214" s="61"/>
      <c r="B214" s="5"/>
      <c r="C214" s="5"/>
      <c r="D214" s="39"/>
      <c r="E214" s="40"/>
      <c r="F214" s="39"/>
      <c r="G214" s="5"/>
      <c r="H214" s="5"/>
      <c r="I214" s="3"/>
      <c r="J214" s="3"/>
      <c r="K214" s="3"/>
      <c r="L214" s="3"/>
      <c r="M214" s="41"/>
      <c r="N214" s="5"/>
      <c r="O214" s="42"/>
      <c r="P214" s="62"/>
      <c r="Q214" s="62"/>
      <c r="R214" s="5"/>
      <c r="S214" s="5"/>
      <c r="T214" s="3"/>
      <c r="U214" s="3"/>
      <c r="V214" s="3"/>
      <c r="W214" s="3"/>
      <c r="X214" s="61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  <c r="BQ214" s="43"/>
      <c r="BR214" s="43"/>
      <c r="BS214" s="43"/>
      <c r="BT214" s="43"/>
      <c r="BU214" s="43"/>
      <c r="BV214" s="43"/>
      <c r="BW214" s="43"/>
    </row>
    <row r="215" spans="1:75" s="36" customFormat="1">
      <c r="A215" s="61"/>
      <c r="B215" s="5"/>
      <c r="C215" s="5"/>
      <c r="D215" s="39"/>
      <c r="E215" s="40"/>
      <c r="F215" s="39"/>
      <c r="G215" s="5"/>
      <c r="H215" s="5"/>
      <c r="I215" s="3"/>
      <c r="J215" s="3"/>
      <c r="K215" s="3"/>
      <c r="L215" s="3"/>
      <c r="M215" s="41"/>
      <c r="N215" s="5"/>
      <c r="O215" s="42"/>
      <c r="P215" s="62"/>
      <c r="Q215" s="62"/>
      <c r="R215" s="5"/>
      <c r="S215" s="5"/>
      <c r="T215" s="3"/>
      <c r="U215" s="3"/>
      <c r="V215" s="3"/>
      <c r="W215" s="3"/>
      <c r="X215" s="61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  <c r="BQ215" s="43"/>
      <c r="BR215" s="43"/>
      <c r="BS215" s="43"/>
      <c r="BT215" s="43"/>
      <c r="BU215" s="43"/>
      <c r="BV215" s="43"/>
      <c r="BW215" s="43"/>
    </row>
    <row r="216" spans="1:75" s="36" customFormat="1">
      <c r="A216" s="61"/>
      <c r="B216" s="5"/>
      <c r="C216" s="5"/>
      <c r="D216" s="39"/>
      <c r="E216" s="40"/>
      <c r="F216" s="39"/>
      <c r="G216" s="5"/>
      <c r="H216" s="5"/>
      <c r="I216" s="3"/>
      <c r="J216" s="3"/>
      <c r="K216" s="3"/>
      <c r="L216" s="3"/>
      <c r="M216" s="41"/>
      <c r="N216" s="5"/>
      <c r="O216" s="42"/>
      <c r="P216" s="62"/>
      <c r="Q216" s="62"/>
      <c r="R216" s="5"/>
      <c r="S216" s="5"/>
      <c r="T216" s="3"/>
      <c r="U216" s="3"/>
      <c r="V216" s="3"/>
      <c r="W216" s="3"/>
      <c r="X216" s="61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43"/>
      <c r="BL216" s="43"/>
      <c r="BM216" s="43"/>
      <c r="BN216" s="43"/>
      <c r="BO216" s="43"/>
      <c r="BP216" s="43"/>
      <c r="BQ216" s="43"/>
      <c r="BR216" s="43"/>
      <c r="BS216" s="43"/>
      <c r="BT216" s="43"/>
      <c r="BU216" s="43"/>
      <c r="BV216" s="43"/>
      <c r="BW216" s="43"/>
    </row>
    <row r="217" spans="1:75" s="36" customFormat="1">
      <c r="A217" s="61"/>
      <c r="B217" s="5"/>
      <c r="C217" s="5"/>
      <c r="D217" s="39"/>
      <c r="E217" s="40"/>
      <c r="F217" s="39"/>
      <c r="G217" s="5"/>
      <c r="H217" s="5"/>
      <c r="I217" s="3"/>
      <c r="J217" s="3"/>
      <c r="K217" s="3"/>
      <c r="L217" s="3"/>
      <c r="M217" s="41"/>
      <c r="N217" s="5"/>
      <c r="O217" s="42"/>
      <c r="P217" s="62"/>
      <c r="Q217" s="62"/>
      <c r="R217" s="5"/>
      <c r="S217" s="5"/>
      <c r="T217" s="3"/>
      <c r="U217" s="3"/>
      <c r="V217" s="3"/>
      <c r="W217" s="3"/>
      <c r="X217" s="61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43"/>
      <c r="BL217" s="43"/>
      <c r="BM217" s="43"/>
      <c r="BN217" s="43"/>
      <c r="BO217" s="43"/>
      <c r="BP217" s="43"/>
      <c r="BQ217" s="43"/>
      <c r="BR217" s="43"/>
      <c r="BS217" s="43"/>
      <c r="BT217" s="43"/>
      <c r="BU217" s="43"/>
      <c r="BV217" s="43"/>
      <c r="BW217" s="43"/>
    </row>
    <row r="218" spans="1:75" s="36" customFormat="1">
      <c r="A218" s="61"/>
      <c r="B218" s="5"/>
      <c r="C218" s="5"/>
      <c r="D218" s="39"/>
      <c r="E218" s="40"/>
      <c r="F218" s="39"/>
      <c r="G218" s="5"/>
      <c r="H218" s="5"/>
      <c r="I218" s="3"/>
      <c r="J218" s="3"/>
      <c r="K218" s="3"/>
      <c r="L218" s="3"/>
      <c r="M218" s="41"/>
      <c r="N218" s="5"/>
      <c r="O218" s="42"/>
      <c r="P218" s="62"/>
      <c r="Q218" s="62"/>
      <c r="R218" s="5"/>
      <c r="S218" s="5"/>
      <c r="T218" s="3"/>
      <c r="U218" s="3"/>
      <c r="V218" s="3"/>
      <c r="W218" s="3"/>
      <c r="X218" s="61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  <c r="BP218" s="43"/>
      <c r="BQ218" s="43"/>
      <c r="BR218" s="43"/>
      <c r="BS218" s="43"/>
      <c r="BT218" s="43"/>
      <c r="BU218" s="43"/>
      <c r="BV218" s="43"/>
      <c r="BW218" s="43"/>
    </row>
    <row r="219" spans="1:75" s="36" customFormat="1">
      <c r="A219" s="61"/>
      <c r="B219" s="5"/>
      <c r="C219" s="5"/>
      <c r="D219" s="39"/>
      <c r="E219" s="40"/>
      <c r="F219" s="39"/>
      <c r="G219" s="5"/>
      <c r="H219" s="5"/>
      <c r="I219" s="3"/>
      <c r="J219" s="3"/>
      <c r="K219" s="3"/>
      <c r="L219" s="3"/>
      <c r="M219" s="41"/>
      <c r="N219" s="5"/>
      <c r="O219" s="42"/>
      <c r="P219" s="62"/>
      <c r="Q219" s="62"/>
      <c r="R219" s="5"/>
      <c r="S219" s="5"/>
      <c r="T219" s="3"/>
      <c r="U219" s="3"/>
      <c r="V219" s="3"/>
      <c r="W219" s="3"/>
      <c r="X219" s="61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43"/>
      <c r="BL219" s="43"/>
      <c r="BM219" s="43"/>
      <c r="BN219" s="43"/>
      <c r="BO219" s="43"/>
      <c r="BP219" s="43"/>
      <c r="BQ219" s="43"/>
      <c r="BR219" s="43"/>
      <c r="BS219" s="43"/>
      <c r="BT219" s="43"/>
      <c r="BU219" s="43"/>
      <c r="BV219" s="43"/>
      <c r="BW219" s="43"/>
    </row>
    <row r="220" spans="1:75" s="36" customFormat="1">
      <c r="A220" s="61"/>
      <c r="B220" s="5"/>
      <c r="C220" s="5"/>
      <c r="D220" s="39"/>
      <c r="E220" s="40"/>
      <c r="F220" s="39"/>
      <c r="G220" s="5"/>
      <c r="H220" s="5"/>
      <c r="I220" s="3"/>
      <c r="J220" s="3"/>
      <c r="K220" s="3"/>
      <c r="L220" s="3"/>
      <c r="M220" s="41"/>
      <c r="N220" s="5"/>
      <c r="O220" s="42"/>
      <c r="P220" s="62"/>
      <c r="Q220" s="62"/>
      <c r="R220" s="5"/>
      <c r="S220" s="5"/>
      <c r="T220" s="3"/>
      <c r="U220" s="3"/>
      <c r="V220" s="3"/>
      <c r="W220" s="3"/>
      <c r="X220" s="61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  <c r="BO220" s="43"/>
      <c r="BP220" s="43"/>
      <c r="BQ220" s="43"/>
      <c r="BR220" s="43"/>
      <c r="BS220" s="43"/>
      <c r="BT220" s="43"/>
      <c r="BU220" s="43"/>
      <c r="BV220" s="43"/>
      <c r="BW220" s="43"/>
    </row>
    <row r="221" spans="1:75" s="36" customFormat="1">
      <c r="A221" s="61"/>
      <c r="B221" s="5"/>
      <c r="C221" s="5"/>
      <c r="D221" s="39"/>
      <c r="E221" s="40"/>
      <c r="F221" s="39"/>
      <c r="G221" s="5"/>
      <c r="H221" s="5"/>
      <c r="I221" s="3"/>
      <c r="J221" s="3"/>
      <c r="K221" s="3"/>
      <c r="L221" s="3"/>
      <c r="M221" s="41"/>
      <c r="N221" s="5"/>
      <c r="O221" s="42"/>
      <c r="P221" s="62"/>
      <c r="Q221" s="62"/>
      <c r="R221" s="5"/>
      <c r="S221" s="5"/>
      <c r="T221" s="3"/>
      <c r="U221" s="3"/>
      <c r="V221" s="3"/>
      <c r="W221" s="3"/>
      <c r="X221" s="61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</row>
    <row r="222" spans="1:75" s="36" customFormat="1">
      <c r="A222" s="61"/>
      <c r="B222" s="5"/>
      <c r="C222" s="5"/>
      <c r="D222" s="39"/>
      <c r="E222" s="40"/>
      <c r="F222" s="39"/>
      <c r="G222" s="5"/>
      <c r="H222" s="5"/>
      <c r="I222" s="3"/>
      <c r="J222" s="3"/>
      <c r="K222" s="3"/>
      <c r="L222" s="3"/>
      <c r="M222" s="41"/>
      <c r="N222" s="5"/>
      <c r="O222" s="42"/>
      <c r="P222" s="62"/>
      <c r="Q222" s="62"/>
      <c r="R222" s="5"/>
      <c r="S222" s="5"/>
      <c r="T222" s="3"/>
      <c r="U222" s="3"/>
      <c r="V222" s="3"/>
      <c r="W222" s="3"/>
      <c r="X222" s="61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</row>
    <row r="223" spans="1:75" s="36" customFormat="1">
      <c r="A223" s="61"/>
      <c r="B223" s="5"/>
      <c r="C223" s="5"/>
      <c r="D223" s="39"/>
      <c r="E223" s="40"/>
      <c r="F223" s="39"/>
      <c r="G223" s="5"/>
      <c r="H223" s="5"/>
      <c r="I223" s="3"/>
      <c r="J223" s="3"/>
      <c r="K223" s="3"/>
      <c r="L223" s="3"/>
      <c r="M223" s="41"/>
      <c r="N223" s="5"/>
      <c r="O223" s="42"/>
      <c r="P223" s="62"/>
      <c r="Q223" s="62"/>
      <c r="R223" s="5"/>
      <c r="S223" s="5"/>
      <c r="T223" s="3"/>
      <c r="U223" s="3"/>
      <c r="V223" s="3"/>
      <c r="W223" s="3"/>
      <c r="X223" s="61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  <c r="BM223" s="43"/>
      <c r="BN223" s="43"/>
      <c r="BO223" s="43"/>
      <c r="BP223" s="43"/>
      <c r="BQ223" s="43"/>
      <c r="BR223" s="43"/>
      <c r="BS223" s="43"/>
      <c r="BT223" s="43"/>
      <c r="BU223" s="43"/>
      <c r="BV223" s="43"/>
      <c r="BW223" s="43"/>
    </row>
    <row r="224" spans="1:75" s="36" customFormat="1">
      <c r="A224" s="61"/>
      <c r="B224" s="5"/>
      <c r="C224" s="5"/>
      <c r="D224" s="39"/>
      <c r="E224" s="40"/>
      <c r="F224" s="39"/>
      <c r="G224" s="5"/>
      <c r="H224" s="5"/>
      <c r="I224" s="3"/>
      <c r="J224" s="3"/>
      <c r="K224" s="3"/>
      <c r="L224" s="3"/>
      <c r="M224" s="41"/>
      <c r="N224" s="5"/>
      <c r="O224" s="42"/>
      <c r="P224" s="62"/>
      <c r="Q224" s="62"/>
      <c r="R224" s="5"/>
      <c r="S224" s="5"/>
      <c r="T224" s="3"/>
      <c r="U224" s="3"/>
      <c r="V224" s="3"/>
      <c r="W224" s="3"/>
      <c r="X224" s="61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  <c r="BJ224" s="43"/>
      <c r="BK224" s="43"/>
      <c r="BL224" s="43"/>
      <c r="BM224" s="43"/>
      <c r="BN224" s="43"/>
      <c r="BO224" s="43"/>
      <c r="BP224" s="43"/>
      <c r="BQ224" s="43"/>
      <c r="BR224" s="43"/>
      <c r="BS224" s="43"/>
      <c r="BT224" s="43"/>
      <c r="BU224" s="43"/>
      <c r="BV224" s="43"/>
      <c r="BW224" s="43"/>
    </row>
    <row r="225" spans="1:75" s="36" customFormat="1">
      <c r="A225" s="61"/>
      <c r="B225" s="5"/>
      <c r="C225" s="5"/>
      <c r="D225" s="39"/>
      <c r="E225" s="40"/>
      <c r="F225" s="39"/>
      <c r="G225" s="5"/>
      <c r="H225" s="5"/>
      <c r="I225" s="3"/>
      <c r="J225" s="3"/>
      <c r="K225" s="3"/>
      <c r="L225" s="3"/>
      <c r="M225" s="41"/>
      <c r="N225" s="5"/>
      <c r="O225" s="42"/>
      <c r="P225" s="62"/>
      <c r="Q225" s="62"/>
      <c r="R225" s="5"/>
      <c r="S225" s="5"/>
      <c r="T225" s="3"/>
      <c r="U225" s="3"/>
      <c r="V225" s="3"/>
      <c r="W225" s="3"/>
      <c r="X225" s="61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</row>
    <row r="226" spans="1:75" s="36" customFormat="1">
      <c r="A226" s="61"/>
      <c r="B226" s="5"/>
      <c r="C226" s="5"/>
      <c r="D226" s="39"/>
      <c r="E226" s="40"/>
      <c r="F226" s="39"/>
      <c r="G226" s="5"/>
      <c r="H226" s="5"/>
      <c r="I226" s="3"/>
      <c r="J226" s="3"/>
      <c r="K226" s="3"/>
      <c r="L226" s="3"/>
      <c r="M226" s="41"/>
      <c r="N226" s="5"/>
      <c r="O226" s="42"/>
      <c r="P226" s="62"/>
      <c r="Q226" s="62"/>
      <c r="R226" s="5"/>
      <c r="S226" s="5"/>
      <c r="T226" s="3"/>
      <c r="U226" s="3"/>
      <c r="V226" s="3"/>
      <c r="W226" s="3"/>
      <c r="X226" s="61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  <c r="BJ226" s="43"/>
      <c r="BK226" s="43"/>
      <c r="BL226" s="43"/>
      <c r="BM226" s="43"/>
      <c r="BN226" s="43"/>
      <c r="BO226" s="43"/>
      <c r="BP226" s="43"/>
      <c r="BQ226" s="43"/>
      <c r="BR226" s="43"/>
      <c r="BS226" s="43"/>
      <c r="BT226" s="43"/>
      <c r="BU226" s="43"/>
      <c r="BV226" s="43"/>
      <c r="BW226" s="43"/>
    </row>
    <row r="227" spans="1:75" s="36" customFormat="1">
      <c r="A227" s="61"/>
      <c r="B227" s="5"/>
      <c r="C227" s="5"/>
      <c r="D227" s="39"/>
      <c r="E227" s="40"/>
      <c r="F227" s="39"/>
      <c r="G227" s="5"/>
      <c r="H227" s="5"/>
      <c r="I227" s="3"/>
      <c r="J227" s="3"/>
      <c r="K227" s="3"/>
      <c r="L227" s="3"/>
      <c r="M227" s="41"/>
      <c r="N227" s="5"/>
      <c r="O227" s="42"/>
      <c r="P227" s="62"/>
      <c r="Q227" s="62"/>
      <c r="R227" s="5"/>
      <c r="S227" s="5"/>
      <c r="T227" s="3"/>
      <c r="U227" s="3"/>
      <c r="V227" s="3"/>
      <c r="W227" s="3"/>
      <c r="X227" s="61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43"/>
      <c r="BL227" s="43"/>
      <c r="BM227" s="43"/>
      <c r="BN227" s="43"/>
      <c r="BO227" s="43"/>
      <c r="BP227" s="43"/>
      <c r="BQ227" s="43"/>
      <c r="BR227" s="43"/>
      <c r="BS227" s="43"/>
      <c r="BT227" s="43"/>
      <c r="BU227" s="43"/>
      <c r="BV227" s="43"/>
      <c r="BW227" s="43"/>
    </row>
    <row r="228" spans="1:75" s="36" customFormat="1">
      <c r="A228" s="61"/>
      <c r="B228" s="5"/>
      <c r="C228" s="5"/>
      <c r="D228" s="39"/>
      <c r="E228" s="40"/>
      <c r="F228" s="39"/>
      <c r="G228" s="5"/>
      <c r="H228" s="5"/>
      <c r="I228" s="3"/>
      <c r="J228" s="3"/>
      <c r="K228" s="3"/>
      <c r="L228" s="3"/>
      <c r="M228" s="41"/>
      <c r="N228" s="5"/>
      <c r="O228" s="42"/>
      <c r="P228" s="62"/>
      <c r="Q228" s="62"/>
      <c r="R228" s="5"/>
      <c r="S228" s="5"/>
      <c r="T228" s="3"/>
      <c r="U228" s="3"/>
      <c r="V228" s="3"/>
      <c r="W228" s="3"/>
      <c r="X228" s="61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  <c r="BI228" s="43"/>
      <c r="BJ228" s="43"/>
      <c r="BK228" s="43"/>
      <c r="BL228" s="43"/>
      <c r="BM228" s="43"/>
      <c r="BN228" s="43"/>
      <c r="BO228" s="43"/>
      <c r="BP228" s="43"/>
      <c r="BQ228" s="43"/>
      <c r="BR228" s="43"/>
      <c r="BS228" s="43"/>
      <c r="BT228" s="43"/>
      <c r="BU228" s="43"/>
      <c r="BV228" s="43"/>
      <c r="BW228" s="43"/>
    </row>
    <row r="229" spans="1:75" s="36" customFormat="1">
      <c r="A229" s="61"/>
      <c r="B229" s="5"/>
      <c r="C229" s="5"/>
      <c r="D229" s="39"/>
      <c r="E229" s="40"/>
      <c r="F229" s="39"/>
      <c r="G229" s="5"/>
      <c r="H229" s="5"/>
      <c r="I229" s="3"/>
      <c r="J229" s="3"/>
      <c r="K229" s="3"/>
      <c r="L229" s="3"/>
      <c r="M229" s="41"/>
      <c r="N229" s="5"/>
      <c r="O229" s="42"/>
      <c r="P229" s="62"/>
      <c r="Q229" s="62"/>
      <c r="R229" s="5"/>
      <c r="S229" s="5"/>
      <c r="T229" s="3"/>
      <c r="U229" s="3"/>
      <c r="V229" s="3"/>
      <c r="W229" s="3"/>
      <c r="X229" s="61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43"/>
      <c r="BL229" s="43"/>
      <c r="BM229" s="43"/>
      <c r="BN229" s="43"/>
      <c r="BO229" s="43"/>
      <c r="BP229" s="43"/>
      <c r="BQ229" s="43"/>
      <c r="BR229" s="43"/>
      <c r="BS229" s="43"/>
      <c r="BT229" s="43"/>
      <c r="BU229" s="43"/>
      <c r="BV229" s="43"/>
      <c r="BW229" s="43"/>
    </row>
    <row r="230" spans="1:75" s="36" customFormat="1">
      <c r="A230" s="61"/>
      <c r="B230" s="5"/>
      <c r="C230" s="5"/>
      <c r="D230" s="39"/>
      <c r="E230" s="40"/>
      <c r="F230" s="39"/>
      <c r="G230" s="5"/>
      <c r="H230" s="5"/>
      <c r="I230" s="3"/>
      <c r="J230" s="3"/>
      <c r="K230" s="3"/>
      <c r="L230" s="3"/>
      <c r="M230" s="41"/>
      <c r="N230" s="5"/>
      <c r="O230" s="42"/>
      <c r="P230" s="62"/>
      <c r="Q230" s="62"/>
      <c r="R230" s="5"/>
      <c r="S230" s="5"/>
      <c r="T230" s="3"/>
      <c r="U230" s="3"/>
      <c r="V230" s="3"/>
      <c r="W230" s="3"/>
      <c r="X230" s="61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  <c r="BJ230" s="43"/>
      <c r="BK230" s="43"/>
      <c r="BL230" s="43"/>
      <c r="BM230" s="43"/>
      <c r="BN230" s="43"/>
      <c r="BO230" s="43"/>
      <c r="BP230" s="43"/>
      <c r="BQ230" s="43"/>
      <c r="BR230" s="43"/>
      <c r="BS230" s="43"/>
      <c r="BT230" s="43"/>
      <c r="BU230" s="43"/>
      <c r="BV230" s="43"/>
      <c r="BW230" s="43"/>
    </row>
    <row r="231" spans="1:75" s="36" customFormat="1">
      <c r="A231" s="61"/>
      <c r="B231" s="5"/>
      <c r="C231" s="5"/>
      <c r="D231" s="39"/>
      <c r="E231" s="40"/>
      <c r="F231" s="39"/>
      <c r="G231" s="5"/>
      <c r="H231" s="5"/>
      <c r="I231" s="3"/>
      <c r="J231" s="3"/>
      <c r="K231" s="3"/>
      <c r="L231" s="3"/>
      <c r="M231" s="41"/>
      <c r="N231" s="5"/>
      <c r="O231" s="42"/>
      <c r="P231" s="62"/>
      <c r="Q231" s="62"/>
      <c r="R231" s="5"/>
      <c r="S231" s="5"/>
      <c r="T231" s="3"/>
      <c r="U231" s="3"/>
      <c r="V231" s="3"/>
      <c r="W231" s="3"/>
      <c r="X231" s="61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  <c r="BI231" s="43"/>
      <c r="BJ231" s="43"/>
      <c r="BK231" s="43"/>
      <c r="BL231" s="43"/>
      <c r="BM231" s="43"/>
      <c r="BN231" s="43"/>
      <c r="BO231" s="43"/>
      <c r="BP231" s="43"/>
      <c r="BQ231" s="43"/>
      <c r="BR231" s="43"/>
      <c r="BS231" s="43"/>
      <c r="BT231" s="43"/>
      <c r="BU231" s="43"/>
      <c r="BV231" s="43"/>
      <c r="BW231" s="43"/>
    </row>
    <row r="232" spans="1:75" s="36" customFormat="1">
      <c r="A232" s="61"/>
      <c r="B232" s="5"/>
      <c r="C232" s="5"/>
      <c r="D232" s="39"/>
      <c r="E232" s="40"/>
      <c r="F232" s="39"/>
      <c r="G232" s="5"/>
      <c r="H232" s="5"/>
      <c r="I232" s="3"/>
      <c r="J232" s="3"/>
      <c r="K232" s="3"/>
      <c r="L232" s="3"/>
      <c r="M232" s="41"/>
      <c r="N232" s="5"/>
      <c r="O232" s="42"/>
      <c r="P232" s="62"/>
      <c r="Q232" s="62"/>
      <c r="R232" s="5"/>
      <c r="S232" s="5"/>
      <c r="T232" s="3"/>
      <c r="U232" s="3"/>
      <c r="V232" s="3"/>
      <c r="W232" s="3"/>
      <c r="X232" s="61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  <c r="BI232" s="43"/>
      <c r="BJ232" s="43"/>
      <c r="BK232" s="43"/>
      <c r="BL232" s="43"/>
      <c r="BM232" s="43"/>
      <c r="BN232" s="43"/>
      <c r="BO232" s="43"/>
      <c r="BP232" s="43"/>
      <c r="BQ232" s="43"/>
      <c r="BR232" s="43"/>
      <c r="BS232" s="43"/>
      <c r="BT232" s="43"/>
      <c r="BU232" s="43"/>
      <c r="BV232" s="43"/>
      <c r="BW232" s="43"/>
    </row>
    <row r="233" spans="1:75" s="36" customFormat="1">
      <c r="A233" s="61"/>
      <c r="B233" s="5"/>
      <c r="C233" s="5"/>
      <c r="D233" s="39"/>
      <c r="E233" s="40"/>
      <c r="F233" s="39"/>
      <c r="G233" s="5"/>
      <c r="H233" s="5"/>
      <c r="I233" s="3"/>
      <c r="J233" s="3"/>
      <c r="K233" s="3"/>
      <c r="L233" s="3"/>
      <c r="M233" s="41"/>
      <c r="N233" s="5"/>
      <c r="O233" s="42"/>
      <c r="P233" s="62"/>
      <c r="Q233" s="62"/>
      <c r="R233" s="5"/>
      <c r="S233" s="5"/>
      <c r="T233" s="3"/>
      <c r="U233" s="3"/>
      <c r="V233" s="3"/>
      <c r="W233" s="3"/>
      <c r="X233" s="61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3"/>
      <c r="BJ233" s="43"/>
      <c r="BK233" s="43"/>
      <c r="BL233" s="43"/>
      <c r="BM233" s="43"/>
      <c r="BN233" s="43"/>
      <c r="BO233" s="43"/>
      <c r="BP233" s="43"/>
      <c r="BQ233" s="43"/>
      <c r="BR233" s="43"/>
      <c r="BS233" s="43"/>
      <c r="BT233" s="43"/>
      <c r="BU233" s="43"/>
      <c r="BV233" s="43"/>
      <c r="BW233" s="43"/>
    </row>
    <row r="234" spans="1:75" s="36" customFormat="1">
      <c r="A234" s="61"/>
      <c r="B234" s="5"/>
      <c r="C234" s="5"/>
      <c r="D234" s="39"/>
      <c r="E234" s="40"/>
      <c r="F234" s="39"/>
      <c r="G234" s="5"/>
      <c r="H234" s="5"/>
      <c r="I234" s="3"/>
      <c r="J234" s="3"/>
      <c r="K234" s="3"/>
      <c r="L234" s="3"/>
      <c r="M234" s="41"/>
      <c r="N234" s="5"/>
      <c r="O234" s="42"/>
      <c r="P234" s="62"/>
      <c r="Q234" s="62"/>
      <c r="R234" s="5"/>
      <c r="S234" s="5"/>
      <c r="T234" s="3"/>
      <c r="U234" s="3"/>
      <c r="V234" s="3"/>
      <c r="W234" s="3"/>
      <c r="X234" s="61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  <c r="BI234" s="43"/>
      <c r="BJ234" s="43"/>
      <c r="BK234" s="43"/>
      <c r="BL234" s="43"/>
      <c r="BM234" s="43"/>
      <c r="BN234" s="43"/>
      <c r="BO234" s="43"/>
      <c r="BP234" s="43"/>
      <c r="BQ234" s="43"/>
      <c r="BR234" s="43"/>
      <c r="BS234" s="43"/>
      <c r="BT234" s="43"/>
      <c r="BU234" s="43"/>
      <c r="BV234" s="43"/>
      <c r="BW234" s="43"/>
    </row>
    <row r="235" spans="1:75" s="36" customFormat="1">
      <c r="A235" s="61"/>
      <c r="B235" s="5"/>
      <c r="C235" s="5"/>
      <c r="D235" s="39"/>
      <c r="E235" s="40"/>
      <c r="F235" s="39"/>
      <c r="G235" s="5"/>
      <c r="H235" s="5"/>
      <c r="I235" s="3"/>
      <c r="J235" s="3"/>
      <c r="K235" s="3"/>
      <c r="L235" s="3"/>
      <c r="M235" s="41"/>
      <c r="N235" s="5"/>
      <c r="O235" s="42"/>
      <c r="P235" s="62"/>
      <c r="Q235" s="62"/>
      <c r="R235" s="5"/>
      <c r="S235" s="5"/>
      <c r="T235" s="3"/>
      <c r="U235" s="3"/>
      <c r="V235" s="3"/>
      <c r="W235" s="3"/>
      <c r="X235" s="61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  <c r="BJ235" s="43"/>
      <c r="BK235" s="43"/>
      <c r="BL235" s="43"/>
      <c r="BM235" s="43"/>
      <c r="BN235" s="43"/>
      <c r="BO235" s="43"/>
      <c r="BP235" s="43"/>
      <c r="BQ235" s="43"/>
      <c r="BR235" s="43"/>
      <c r="BS235" s="43"/>
      <c r="BT235" s="43"/>
      <c r="BU235" s="43"/>
      <c r="BV235" s="43"/>
      <c r="BW235" s="43"/>
    </row>
    <row r="236" spans="1:75" s="36" customFormat="1">
      <c r="A236" s="61"/>
      <c r="B236" s="5"/>
      <c r="C236" s="5"/>
      <c r="D236" s="39"/>
      <c r="E236" s="40"/>
      <c r="F236" s="39"/>
      <c r="G236" s="5"/>
      <c r="H236" s="5"/>
      <c r="I236" s="3"/>
      <c r="J236" s="3"/>
      <c r="K236" s="3"/>
      <c r="L236" s="3"/>
      <c r="M236" s="41"/>
      <c r="N236" s="5"/>
      <c r="O236" s="42"/>
      <c r="P236" s="62"/>
      <c r="Q236" s="62"/>
      <c r="R236" s="5"/>
      <c r="S236" s="5"/>
      <c r="T236" s="3"/>
      <c r="U236" s="3"/>
      <c r="V236" s="3"/>
      <c r="W236" s="3"/>
      <c r="X236" s="61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3"/>
      <c r="BJ236" s="43"/>
      <c r="BK236" s="43"/>
      <c r="BL236" s="43"/>
      <c r="BM236" s="43"/>
      <c r="BN236" s="43"/>
      <c r="BO236" s="43"/>
      <c r="BP236" s="43"/>
      <c r="BQ236" s="43"/>
      <c r="BR236" s="43"/>
      <c r="BS236" s="43"/>
      <c r="BT236" s="43"/>
      <c r="BU236" s="43"/>
      <c r="BV236" s="43"/>
      <c r="BW236" s="43"/>
    </row>
    <row r="237" spans="1:75" s="36" customFormat="1">
      <c r="A237" s="61"/>
      <c r="B237" s="5"/>
      <c r="C237" s="5"/>
      <c r="D237" s="39"/>
      <c r="E237" s="40"/>
      <c r="F237" s="39"/>
      <c r="G237" s="5"/>
      <c r="H237" s="5"/>
      <c r="I237" s="3"/>
      <c r="J237" s="3"/>
      <c r="K237" s="3"/>
      <c r="L237" s="3"/>
      <c r="M237" s="41"/>
      <c r="N237" s="5"/>
      <c r="O237" s="42"/>
      <c r="P237" s="62"/>
      <c r="Q237" s="62"/>
      <c r="R237" s="5"/>
      <c r="S237" s="5"/>
      <c r="T237" s="3"/>
      <c r="U237" s="3"/>
      <c r="V237" s="3"/>
      <c r="W237" s="3"/>
      <c r="X237" s="61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  <c r="BI237" s="43"/>
      <c r="BJ237" s="43"/>
      <c r="BK237" s="43"/>
      <c r="BL237" s="43"/>
      <c r="BM237" s="43"/>
      <c r="BN237" s="43"/>
      <c r="BO237" s="43"/>
      <c r="BP237" s="43"/>
      <c r="BQ237" s="43"/>
      <c r="BR237" s="43"/>
      <c r="BS237" s="43"/>
      <c r="BT237" s="43"/>
      <c r="BU237" s="43"/>
      <c r="BV237" s="43"/>
      <c r="BW237" s="43"/>
    </row>
    <row r="238" spans="1:75" s="36" customFormat="1">
      <c r="A238" s="61"/>
      <c r="B238" s="5"/>
      <c r="C238" s="5"/>
      <c r="D238" s="39"/>
      <c r="E238" s="40"/>
      <c r="F238" s="39"/>
      <c r="G238" s="5"/>
      <c r="H238" s="5"/>
      <c r="I238" s="3"/>
      <c r="J238" s="3"/>
      <c r="K238" s="3"/>
      <c r="L238" s="3"/>
      <c r="M238" s="41"/>
      <c r="N238" s="5"/>
      <c r="O238" s="42"/>
      <c r="P238" s="62"/>
      <c r="Q238" s="62"/>
      <c r="R238" s="5"/>
      <c r="S238" s="5"/>
      <c r="T238" s="3"/>
      <c r="U238" s="3"/>
      <c r="V238" s="3"/>
      <c r="W238" s="3"/>
      <c r="X238" s="61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  <c r="BC238" s="43"/>
      <c r="BD238" s="43"/>
      <c r="BE238" s="43"/>
      <c r="BF238" s="43"/>
      <c r="BG238" s="43"/>
      <c r="BH238" s="43"/>
      <c r="BI238" s="43"/>
      <c r="BJ238" s="43"/>
      <c r="BK238" s="43"/>
      <c r="BL238" s="43"/>
      <c r="BM238" s="43"/>
      <c r="BN238" s="43"/>
      <c r="BO238" s="43"/>
      <c r="BP238" s="43"/>
      <c r="BQ238" s="43"/>
      <c r="BR238" s="43"/>
      <c r="BS238" s="43"/>
      <c r="BT238" s="43"/>
      <c r="BU238" s="43"/>
      <c r="BV238" s="43"/>
      <c r="BW238" s="43"/>
    </row>
    <row r="239" spans="1:75" s="36" customFormat="1">
      <c r="A239" s="61"/>
      <c r="B239" s="5"/>
      <c r="C239" s="5"/>
      <c r="D239" s="39"/>
      <c r="E239" s="40"/>
      <c r="F239" s="39"/>
      <c r="G239" s="5"/>
      <c r="H239" s="5"/>
      <c r="I239" s="3"/>
      <c r="J239" s="3"/>
      <c r="K239" s="3"/>
      <c r="L239" s="3"/>
      <c r="M239" s="41"/>
      <c r="N239" s="5"/>
      <c r="O239" s="42"/>
      <c r="P239" s="62"/>
      <c r="Q239" s="62"/>
      <c r="R239" s="5"/>
      <c r="S239" s="5"/>
      <c r="T239" s="3"/>
      <c r="U239" s="3"/>
      <c r="V239" s="3"/>
      <c r="W239" s="3"/>
      <c r="X239" s="61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  <c r="BG239" s="43"/>
      <c r="BH239" s="43"/>
      <c r="BI239" s="43"/>
      <c r="BJ239" s="43"/>
      <c r="BK239" s="43"/>
      <c r="BL239" s="43"/>
      <c r="BM239" s="43"/>
      <c r="BN239" s="43"/>
      <c r="BO239" s="43"/>
      <c r="BP239" s="43"/>
      <c r="BQ239" s="43"/>
      <c r="BR239" s="43"/>
      <c r="BS239" s="43"/>
      <c r="BT239" s="43"/>
      <c r="BU239" s="43"/>
      <c r="BV239" s="43"/>
      <c r="BW239" s="43"/>
    </row>
    <row r="240" spans="1:75" s="36" customFormat="1">
      <c r="A240" s="61"/>
      <c r="B240" s="5"/>
      <c r="C240" s="5"/>
      <c r="D240" s="39"/>
      <c r="E240" s="40"/>
      <c r="F240" s="39"/>
      <c r="G240" s="5"/>
      <c r="H240" s="5"/>
      <c r="I240" s="3"/>
      <c r="J240" s="3"/>
      <c r="K240" s="3"/>
      <c r="L240" s="3"/>
      <c r="M240" s="41"/>
      <c r="N240" s="5"/>
      <c r="O240" s="42"/>
      <c r="P240" s="62"/>
      <c r="Q240" s="62"/>
      <c r="R240" s="5"/>
      <c r="S240" s="5"/>
      <c r="T240" s="3"/>
      <c r="U240" s="3"/>
      <c r="V240" s="3"/>
      <c r="W240" s="3"/>
      <c r="X240" s="61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  <c r="BG240" s="43"/>
      <c r="BH240" s="43"/>
      <c r="BI240" s="43"/>
      <c r="BJ240" s="43"/>
      <c r="BK240" s="43"/>
      <c r="BL240" s="43"/>
      <c r="BM240" s="43"/>
      <c r="BN240" s="43"/>
      <c r="BO240" s="43"/>
      <c r="BP240" s="43"/>
      <c r="BQ240" s="43"/>
      <c r="BR240" s="43"/>
      <c r="BS240" s="43"/>
      <c r="BT240" s="43"/>
      <c r="BU240" s="43"/>
      <c r="BV240" s="43"/>
      <c r="BW240" s="43"/>
    </row>
    <row r="241" spans="1:75" s="36" customFormat="1">
      <c r="A241" s="61"/>
      <c r="B241" s="5"/>
      <c r="C241" s="5"/>
      <c r="D241" s="39"/>
      <c r="E241" s="40"/>
      <c r="F241" s="39"/>
      <c r="G241" s="5"/>
      <c r="H241" s="5"/>
      <c r="I241" s="3"/>
      <c r="J241" s="3"/>
      <c r="K241" s="3"/>
      <c r="L241" s="3"/>
      <c r="M241" s="41"/>
      <c r="N241" s="5"/>
      <c r="O241" s="42"/>
      <c r="P241" s="62"/>
      <c r="Q241" s="62"/>
      <c r="R241" s="5"/>
      <c r="S241" s="5"/>
      <c r="T241" s="3"/>
      <c r="U241" s="3"/>
      <c r="V241" s="3"/>
      <c r="W241" s="3"/>
      <c r="X241" s="61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  <c r="BB241" s="43"/>
      <c r="BC241" s="43"/>
      <c r="BD241" s="43"/>
      <c r="BE241" s="43"/>
      <c r="BF241" s="43"/>
      <c r="BG241" s="43"/>
      <c r="BH241" s="43"/>
      <c r="BI241" s="43"/>
      <c r="BJ241" s="43"/>
      <c r="BK241" s="43"/>
      <c r="BL241" s="43"/>
      <c r="BM241" s="43"/>
      <c r="BN241" s="43"/>
      <c r="BO241" s="43"/>
      <c r="BP241" s="43"/>
      <c r="BQ241" s="43"/>
      <c r="BR241" s="43"/>
      <c r="BS241" s="43"/>
      <c r="BT241" s="43"/>
      <c r="BU241" s="43"/>
      <c r="BV241" s="43"/>
      <c r="BW241" s="43"/>
    </row>
    <row r="242" spans="1:75" s="36" customFormat="1">
      <c r="A242" s="61"/>
      <c r="B242" s="5"/>
      <c r="C242" s="5"/>
      <c r="D242" s="39"/>
      <c r="E242" s="40"/>
      <c r="F242" s="39"/>
      <c r="G242" s="5"/>
      <c r="H242" s="5"/>
      <c r="I242" s="3"/>
      <c r="J242" s="3"/>
      <c r="K242" s="3"/>
      <c r="L242" s="3"/>
      <c r="M242" s="41"/>
      <c r="N242" s="5"/>
      <c r="O242" s="42"/>
      <c r="P242" s="62"/>
      <c r="Q242" s="62"/>
      <c r="R242" s="5"/>
      <c r="S242" s="5"/>
      <c r="T242" s="3"/>
      <c r="U242" s="3"/>
      <c r="V242" s="3"/>
      <c r="W242" s="3"/>
      <c r="X242" s="61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  <c r="BC242" s="43"/>
      <c r="BD242" s="43"/>
      <c r="BE242" s="43"/>
      <c r="BF242" s="43"/>
      <c r="BG242" s="43"/>
      <c r="BH242" s="43"/>
      <c r="BI242" s="43"/>
      <c r="BJ242" s="43"/>
      <c r="BK242" s="43"/>
      <c r="BL242" s="43"/>
      <c r="BM242" s="43"/>
      <c r="BN242" s="43"/>
      <c r="BO242" s="43"/>
      <c r="BP242" s="43"/>
      <c r="BQ242" s="43"/>
      <c r="BR242" s="43"/>
      <c r="BS242" s="43"/>
      <c r="BT242" s="43"/>
      <c r="BU242" s="43"/>
      <c r="BV242" s="43"/>
      <c r="BW242" s="43"/>
    </row>
    <row r="243" spans="1:75" s="36" customFormat="1">
      <c r="A243" s="61"/>
      <c r="B243" s="5"/>
      <c r="C243" s="5"/>
      <c r="D243" s="39"/>
      <c r="E243" s="40"/>
      <c r="F243" s="39"/>
      <c r="G243" s="5"/>
      <c r="H243" s="5"/>
      <c r="I243" s="3"/>
      <c r="J243" s="3"/>
      <c r="K243" s="3"/>
      <c r="L243" s="3"/>
      <c r="M243" s="41"/>
      <c r="N243" s="5"/>
      <c r="O243" s="42"/>
      <c r="P243" s="62"/>
      <c r="Q243" s="62"/>
      <c r="R243" s="5"/>
      <c r="S243" s="5"/>
      <c r="T243" s="3"/>
      <c r="U243" s="3"/>
      <c r="V243" s="3"/>
      <c r="W243" s="3"/>
      <c r="X243" s="61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43"/>
      <c r="BD243" s="43"/>
      <c r="BE243" s="43"/>
      <c r="BF243" s="43"/>
      <c r="BG243" s="43"/>
      <c r="BH243" s="43"/>
      <c r="BI243" s="43"/>
      <c r="BJ243" s="43"/>
      <c r="BK243" s="43"/>
      <c r="BL243" s="43"/>
      <c r="BM243" s="43"/>
      <c r="BN243" s="43"/>
      <c r="BO243" s="43"/>
      <c r="BP243" s="43"/>
      <c r="BQ243" s="43"/>
      <c r="BR243" s="43"/>
      <c r="BS243" s="43"/>
      <c r="BT243" s="43"/>
      <c r="BU243" s="43"/>
      <c r="BV243" s="43"/>
      <c r="BW243" s="43"/>
    </row>
    <row r="244" spans="1:75" s="36" customFormat="1">
      <c r="A244" s="61"/>
      <c r="B244" s="5"/>
      <c r="C244" s="5"/>
      <c r="D244" s="39"/>
      <c r="E244" s="40"/>
      <c r="F244" s="39"/>
      <c r="G244" s="5"/>
      <c r="H244" s="5"/>
      <c r="I244" s="3"/>
      <c r="J244" s="3"/>
      <c r="K244" s="3"/>
      <c r="L244" s="3"/>
      <c r="M244" s="41"/>
      <c r="N244" s="5"/>
      <c r="O244" s="42"/>
      <c r="P244" s="62"/>
      <c r="Q244" s="62"/>
      <c r="R244" s="5"/>
      <c r="S244" s="5"/>
      <c r="T244" s="3"/>
      <c r="U244" s="3"/>
      <c r="V244" s="3"/>
      <c r="W244" s="3"/>
      <c r="X244" s="61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  <c r="BB244" s="43"/>
      <c r="BC244" s="43"/>
      <c r="BD244" s="43"/>
      <c r="BE244" s="43"/>
      <c r="BF244" s="43"/>
      <c r="BG244" s="43"/>
      <c r="BH244" s="43"/>
      <c r="BI244" s="43"/>
      <c r="BJ244" s="43"/>
      <c r="BK244" s="43"/>
      <c r="BL244" s="43"/>
      <c r="BM244" s="43"/>
      <c r="BN244" s="43"/>
      <c r="BO244" s="43"/>
      <c r="BP244" s="43"/>
      <c r="BQ244" s="43"/>
      <c r="BR244" s="43"/>
      <c r="BS244" s="43"/>
      <c r="BT244" s="43"/>
      <c r="BU244" s="43"/>
      <c r="BV244" s="43"/>
      <c r="BW244" s="43"/>
    </row>
    <row r="245" spans="1:75" s="36" customFormat="1">
      <c r="A245" s="61"/>
      <c r="B245" s="5"/>
      <c r="C245" s="5"/>
      <c r="D245" s="39"/>
      <c r="E245" s="40"/>
      <c r="F245" s="39"/>
      <c r="G245" s="5"/>
      <c r="H245" s="5"/>
      <c r="I245" s="3"/>
      <c r="J245" s="3"/>
      <c r="K245" s="3"/>
      <c r="L245" s="3"/>
      <c r="M245" s="41"/>
      <c r="N245" s="5"/>
      <c r="O245" s="42"/>
      <c r="P245" s="62"/>
      <c r="Q245" s="62"/>
      <c r="R245" s="5"/>
      <c r="S245" s="5"/>
      <c r="T245" s="3"/>
      <c r="U245" s="3"/>
      <c r="V245" s="3"/>
      <c r="W245" s="3"/>
      <c r="X245" s="61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  <c r="BB245" s="43"/>
      <c r="BC245" s="43"/>
      <c r="BD245" s="43"/>
      <c r="BE245" s="43"/>
      <c r="BF245" s="43"/>
      <c r="BG245" s="43"/>
      <c r="BH245" s="43"/>
      <c r="BI245" s="43"/>
      <c r="BJ245" s="43"/>
      <c r="BK245" s="43"/>
      <c r="BL245" s="43"/>
      <c r="BM245" s="43"/>
      <c r="BN245" s="43"/>
      <c r="BO245" s="43"/>
      <c r="BP245" s="43"/>
      <c r="BQ245" s="43"/>
      <c r="BR245" s="43"/>
      <c r="BS245" s="43"/>
      <c r="BT245" s="43"/>
      <c r="BU245" s="43"/>
      <c r="BV245" s="43"/>
      <c r="BW245" s="43"/>
    </row>
    <row r="246" spans="1:75" s="36" customFormat="1">
      <c r="A246" s="61"/>
      <c r="B246" s="5"/>
      <c r="C246" s="5"/>
      <c r="D246" s="39"/>
      <c r="E246" s="40"/>
      <c r="F246" s="39"/>
      <c r="G246" s="5"/>
      <c r="H246" s="5"/>
      <c r="I246" s="3"/>
      <c r="J246" s="3"/>
      <c r="K246" s="3"/>
      <c r="L246" s="3"/>
      <c r="M246" s="41"/>
      <c r="N246" s="5"/>
      <c r="O246" s="42"/>
      <c r="P246" s="62"/>
      <c r="Q246" s="62"/>
      <c r="R246" s="5"/>
      <c r="S246" s="5"/>
      <c r="T246" s="3"/>
      <c r="U246" s="3"/>
      <c r="V246" s="3"/>
      <c r="W246" s="3"/>
      <c r="X246" s="61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  <c r="BB246" s="43"/>
      <c r="BC246" s="43"/>
      <c r="BD246" s="43"/>
      <c r="BE246" s="43"/>
      <c r="BF246" s="43"/>
      <c r="BG246" s="43"/>
      <c r="BH246" s="43"/>
      <c r="BI246" s="43"/>
      <c r="BJ246" s="43"/>
      <c r="BK246" s="43"/>
      <c r="BL246" s="43"/>
      <c r="BM246" s="43"/>
      <c r="BN246" s="43"/>
      <c r="BO246" s="43"/>
      <c r="BP246" s="43"/>
      <c r="BQ246" s="43"/>
      <c r="BR246" s="43"/>
      <c r="BS246" s="43"/>
      <c r="BT246" s="43"/>
      <c r="BU246" s="43"/>
      <c r="BV246" s="43"/>
      <c r="BW246" s="43"/>
    </row>
    <row r="247" spans="1:75" s="36" customFormat="1">
      <c r="A247" s="61"/>
      <c r="B247" s="5"/>
      <c r="C247" s="5"/>
      <c r="D247" s="39"/>
      <c r="E247" s="40"/>
      <c r="F247" s="39"/>
      <c r="G247" s="5"/>
      <c r="H247" s="5"/>
      <c r="I247" s="3"/>
      <c r="J247" s="3"/>
      <c r="K247" s="3"/>
      <c r="L247" s="3"/>
      <c r="M247" s="41"/>
      <c r="N247" s="5"/>
      <c r="O247" s="42"/>
      <c r="P247" s="62"/>
      <c r="Q247" s="62"/>
      <c r="R247" s="5"/>
      <c r="S247" s="5"/>
      <c r="T247" s="3"/>
      <c r="U247" s="3"/>
      <c r="V247" s="3"/>
      <c r="W247" s="3"/>
      <c r="X247" s="61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  <c r="BB247" s="43"/>
      <c r="BC247" s="43"/>
      <c r="BD247" s="43"/>
      <c r="BE247" s="43"/>
      <c r="BF247" s="43"/>
      <c r="BG247" s="43"/>
      <c r="BH247" s="43"/>
      <c r="BI247" s="43"/>
      <c r="BJ247" s="43"/>
      <c r="BK247" s="43"/>
      <c r="BL247" s="43"/>
      <c r="BM247" s="43"/>
      <c r="BN247" s="43"/>
      <c r="BO247" s="43"/>
      <c r="BP247" s="43"/>
      <c r="BQ247" s="43"/>
      <c r="BR247" s="43"/>
      <c r="BS247" s="43"/>
      <c r="BT247" s="43"/>
      <c r="BU247" s="43"/>
      <c r="BV247" s="43"/>
      <c r="BW247" s="43"/>
    </row>
    <row r="248" spans="1:75" s="36" customFormat="1">
      <c r="A248" s="61"/>
      <c r="B248" s="5"/>
      <c r="C248" s="5"/>
      <c r="D248" s="39"/>
      <c r="E248" s="40"/>
      <c r="F248" s="39"/>
      <c r="G248" s="5"/>
      <c r="H248" s="5"/>
      <c r="I248" s="3"/>
      <c r="J248" s="3"/>
      <c r="K248" s="3"/>
      <c r="L248" s="3"/>
      <c r="M248" s="41"/>
      <c r="N248" s="5"/>
      <c r="O248" s="42"/>
      <c r="P248" s="62"/>
      <c r="Q248" s="62"/>
      <c r="R248" s="5"/>
      <c r="S248" s="5"/>
      <c r="T248" s="3"/>
      <c r="U248" s="3"/>
      <c r="V248" s="3"/>
      <c r="W248" s="3"/>
      <c r="X248" s="61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  <c r="BB248" s="43"/>
      <c r="BC248" s="43"/>
      <c r="BD248" s="43"/>
      <c r="BE248" s="43"/>
      <c r="BF248" s="43"/>
      <c r="BG248" s="43"/>
      <c r="BH248" s="43"/>
      <c r="BI248" s="43"/>
      <c r="BJ248" s="43"/>
      <c r="BK248" s="43"/>
      <c r="BL248" s="43"/>
      <c r="BM248" s="43"/>
      <c r="BN248" s="43"/>
      <c r="BO248" s="43"/>
      <c r="BP248" s="43"/>
      <c r="BQ248" s="43"/>
      <c r="BR248" s="43"/>
      <c r="BS248" s="43"/>
      <c r="BT248" s="43"/>
      <c r="BU248" s="43"/>
      <c r="BV248" s="43"/>
      <c r="BW248" s="43"/>
    </row>
    <row r="249" spans="1:75" s="36" customFormat="1">
      <c r="A249" s="61"/>
      <c r="B249" s="5"/>
      <c r="C249" s="5"/>
      <c r="D249" s="39"/>
      <c r="E249" s="40"/>
      <c r="F249" s="39"/>
      <c r="G249" s="5"/>
      <c r="H249" s="5"/>
      <c r="I249" s="3"/>
      <c r="J249" s="3"/>
      <c r="K249" s="3"/>
      <c r="L249" s="3"/>
      <c r="M249" s="41"/>
      <c r="N249" s="5"/>
      <c r="O249" s="42"/>
      <c r="P249" s="62"/>
      <c r="Q249" s="62"/>
      <c r="R249" s="5"/>
      <c r="S249" s="5"/>
      <c r="T249" s="3"/>
      <c r="U249" s="3"/>
      <c r="V249" s="3"/>
      <c r="W249" s="3"/>
      <c r="X249" s="61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  <c r="BC249" s="43"/>
      <c r="BD249" s="43"/>
      <c r="BE249" s="43"/>
      <c r="BF249" s="43"/>
      <c r="BG249" s="43"/>
      <c r="BH249" s="43"/>
      <c r="BI249" s="43"/>
      <c r="BJ249" s="43"/>
      <c r="BK249" s="43"/>
      <c r="BL249" s="43"/>
      <c r="BM249" s="43"/>
      <c r="BN249" s="43"/>
      <c r="BO249" s="43"/>
      <c r="BP249" s="43"/>
      <c r="BQ249" s="43"/>
      <c r="BR249" s="43"/>
      <c r="BS249" s="43"/>
      <c r="BT249" s="43"/>
      <c r="BU249" s="43"/>
      <c r="BV249" s="43"/>
      <c r="BW249" s="43"/>
    </row>
    <row r="250" spans="1:75" s="36" customFormat="1">
      <c r="A250" s="61"/>
      <c r="B250" s="5"/>
      <c r="C250" s="5"/>
      <c r="D250" s="39"/>
      <c r="E250" s="40"/>
      <c r="F250" s="39"/>
      <c r="G250" s="5"/>
      <c r="H250" s="5"/>
      <c r="I250" s="3"/>
      <c r="J250" s="3"/>
      <c r="K250" s="3"/>
      <c r="L250" s="3"/>
      <c r="M250" s="41"/>
      <c r="N250" s="5"/>
      <c r="O250" s="42"/>
      <c r="P250" s="62"/>
      <c r="Q250" s="62"/>
      <c r="R250" s="5"/>
      <c r="S250" s="5"/>
      <c r="T250" s="3"/>
      <c r="U250" s="3"/>
      <c r="V250" s="3"/>
      <c r="W250" s="3"/>
      <c r="X250" s="61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43"/>
      <c r="AW250" s="43"/>
      <c r="AX250" s="43"/>
      <c r="AY250" s="43"/>
      <c r="AZ250" s="43"/>
      <c r="BA250" s="43"/>
      <c r="BB250" s="43"/>
      <c r="BC250" s="43"/>
      <c r="BD250" s="43"/>
      <c r="BE250" s="43"/>
      <c r="BF250" s="43"/>
      <c r="BG250" s="43"/>
      <c r="BH250" s="43"/>
      <c r="BI250" s="43"/>
      <c r="BJ250" s="43"/>
      <c r="BK250" s="43"/>
      <c r="BL250" s="43"/>
      <c r="BM250" s="43"/>
      <c r="BN250" s="43"/>
      <c r="BO250" s="43"/>
      <c r="BP250" s="43"/>
      <c r="BQ250" s="43"/>
      <c r="BR250" s="43"/>
      <c r="BS250" s="43"/>
      <c r="BT250" s="43"/>
      <c r="BU250" s="43"/>
      <c r="BV250" s="43"/>
      <c r="BW250" s="43"/>
    </row>
    <row r="251" spans="1:75" s="36" customFormat="1">
      <c r="A251" s="61"/>
      <c r="B251" s="5"/>
      <c r="C251" s="5"/>
      <c r="D251" s="39"/>
      <c r="E251" s="40"/>
      <c r="F251" s="39"/>
      <c r="G251" s="5"/>
      <c r="H251" s="5"/>
      <c r="I251" s="3"/>
      <c r="J251" s="3"/>
      <c r="K251" s="3"/>
      <c r="L251" s="3"/>
      <c r="M251" s="41"/>
      <c r="N251" s="5"/>
      <c r="O251" s="42"/>
      <c r="P251" s="62"/>
      <c r="Q251" s="62"/>
      <c r="R251" s="5"/>
      <c r="S251" s="5"/>
      <c r="T251" s="3"/>
      <c r="U251" s="3"/>
      <c r="V251" s="3"/>
      <c r="W251" s="3"/>
      <c r="X251" s="61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  <c r="BB251" s="43"/>
      <c r="BC251" s="43"/>
      <c r="BD251" s="43"/>
      <c r="BE251" s="43"/>
      <c r="BF251" s="43"/>
      <c r="BG251" s="43"/>
      <c r="BH251" s="43"/>
      <c r="BI251" s="43"/>
      <c r="BJ251" s="43"/>
      <c r="BK251" s="43"/>
      <c r="BL251" s="43"/>
      <c r="BM251" s="43"/>
      <c r="BN251" s="43"/>
      <c r="BO251" s="43"/>
      <c r="BP251" s="43"/>
      <c r="BQ251" s="43"/>
      <c r="BR251" s="43"/>
      <c r="BS251" s="43"/>
      <c r="BT251" s="43"/>
      <c r="BU251" s="43"/>
      <c r="BV251" s="43"/>
      <c r="BW251" s="43"/>
    </row>
    <row r="252" spans="1:75" s="36" customFormat="1">
      <c r="A252" s="61"/>
      <c r="B252" s="5"/>
      <c r="C252" s="5"/>
      <c r="D252" s="39"/>
      <c r="E252" s="40"/>
      <c r="F252" s="39"/>
      <c r="G252" s="5"/>
      <c r="H252" s="5"/>
      <c r="I252" s="3"/>
      <c r="J252" s="3"/>
      <c r="K252" s="3"/>
      <c r="L252" s="3"/>
      <c r="M252" s="41"/>
      <c r="N252" s="5"/>
      <c r="O252" s="42"/>
      <c r="P252" s="62"/>
      <c r="Q252" s="62"/>
      <c r="R252" s="5"/>
      <c r="S252" s="5"/>
      <c r="T252" s="3"/>
      <c r="U252" s="3"/>
      <c r="V252" s="3"/>
      <c r="W252" s="3"/>
      <c r="X252" s="61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  <c r="BA252" s="43"/>
      <c r="BB252" s="43"/>
      <c r="BC252" s="43"/>
      <c r="BD252" s="43"/>
      <c r="BE252" s="43"/>
      <c r="BF252" s="43"/>
      <c r="BG252" s="43"/>
      <c r="BH252" s="43"/>
      <c r="BI252" s="43"/>
      <c r="BJ252" s="43"/>
      <c r="BK252" s="43"/>
      <c r="BL252" s="43"/>
      <c r="BM252" s="43"/>
      <c r="BN252" s="43"/>
      <c r="BO252" s="43"/>
      <c r="BP252" s="43"/>
      <c r="BQ252" s="43"/>
      <c r="BR252" s="43"/>
      <c r="BS252" s="43"/>
      <c r="BT252" s="43"/>
      <c r="BU252" s="43"/>
      <c r="BV252" s="43"/>
      <c r="BW252" s="43"/>
    </row>
    <row r="253" spans="1:75" s="36" customFormat="1">
      <c r="A253" s="61"/>
      <c r="B253" s="5"/>
      <c r="C253" s="5"/>
      <c r="D253" s="39"/>
      <c r="E253" s="40"/>
      <c r="F253" s="39"/>
      <c r="G253" s="5"/>
      <c r="H253" s="5"/>
      <c r="I253" s="3"/>
      <c r="J253" s="3"/>
      <c r="K253" s="3"/>
      <c r="L253" s="3"/>
      <c r="M253" s="41"/>
      <c r="N253" s="5"/>
      <c r="O253" s="42"/>
      <c r="P253" s="62"/>
      <c r="Q253" s="62"/>
      <c r="R253" s="5"/>
      <c r="S253" s="5"/>
      <c r="T253" s="3"/>
      <c r="U253" s="3"/>
      <c r="V253" s="3"/>
      <c r="W253" s="3"/>
      <c r="X253" s="61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  <c r="BB253" s="43"/>
      <c r="BC253" s="43"/>
      <c r="BD253" s="43"/>
      <c r="BE253" s="43"/>
      <c r="BF253" s="43"/>
      <c r="BG253" s="43"/>
      <c r="BH253" s="43"/>
      <c r="BI253" s="43"/>
      <c r="BJ253" s="43"/>
      <c r="BK253" s="43"/>
      <c r="BL253" s="43"/>
      <c r="BM253" s="43"/>
      <c r="BN253" s="43"/>
      <c r="BO253" s="43"/>
      <c r="BP253" s="43"/>
      <c r="BQ253" s="43"/>
      <c r="BR253" s="43"/>
      <c r="BS253" s="43"/>
      <c r="BT253" s="43"/>
      <c r="BU253" s="43"/>
      <c r="BV253" s="43"/>
      <c r="BW253" s="43"/>
    </row>
    <row r="254" spans="1:75" s="36" customFormat="1">
      <c r="A254" s="61"/>
      <c r="B254" s="5"/>
      <c r="C254" s="5"/>
      <c r="D254" s="39"/>
      <c r="E254" s="40"/>
      <c r="F254" s="39"/>
      <c r="G254" s="5"/>
      <c r="H254" s="5"/>
      <c r="I254" s="3"/>
      <c r="J254" s="3"/>
      <c r="K254" s="3"/>
      <c r="L254" s="3"/>
      <c r="M254" s="41"/>
      <c r="N254" s="5"/>
      <c r="O254" s="42"/>
      <c r="P254" s="62"/>
      <c r="Q254" s="62"/>
      <c r="R254" s="5"/>
      <c r="S254" s="5"/>
      <c r="T254" s="3"/>
      <c r="U254" s="3"/>
      <c r="V254" s="3"/>
      <c r="W254" s="3"/>
      <c r="X254" s="61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  <c r="BB254" s="43"/>
      <c r="BC254" s="43"/>
      <c r="BD254" s="43"/>
      <c r="BE254" s="43"/>
      <c r="BF254" s="43"/>
      <c r="BG254" s="43"/>
      <c r="BH254" s="43"/>
      <c r="BI254" s="43"/>
      <c r="BJ254" s="43"/>
      <c r="BK254" s="43"/>
      <c r="BL254" s="43"/>
      <c r="BM254" s="43"/>
      <c r="BN254" s="43"/>
      <c r="BO254" s="43"/>
      <c r="BP254" s="43"/>
      <c r="BQ254" s="43"/>
      <c r="BR254" s="43"/>
      <c r="BS254" s="43"/>
      <c r="BT254" s="43"/>
      <c r="BU254" s="43"/>
      <c r="BV254" s="43"/>
      <c r="BW254" s="43"/>
    </row>
    <row r="255" spans="1:75" s="36" customFormat="1">
      <c r="A255" s="61"/>
      <c r="B255" s="5"/>
      <c r="C255" s="5"/>
      <c r="D255" s="39"/>
      <c r="E255" s="40"/>
      <c r="F255" s="39"/>
      <c r="G255" s="5"/>
      <c r="H255" s="5"/>
      <c r="I255" s="3"/>
      <c r="J255" s="3"/>
      <c r="K255" s="3"/>
      <c r="L255" s="3"/>
      <c r="M255" s="41"/>
      <c r="N255" s="5"/>
      <c r="O255" s="42"/>
      <c r="P255" s="62"/>
      <c r="Q255" s="62"/>
      <c r="R255" s="5"/>
      <c r="S255" s="5"/>
      <c r="T255" s="3"/>
      <c r="U255" s="3"/>
      <c r="V255" s="3"/>
      <c r="W255" s="3"/>
      <c r="X255" s="61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  <c r="BO255" s="43"/>
      <c r="BP255" s="43"/>
      <c r="BQ255" s="43"/>
      <c r="BR255" s="43"/>
      <c r="BS255" s="43"/>
      <c r="BT255" s="43"/>
      <c r="BU255" s="43"/>
      <c r="BV255" s="43"/>
      <c r="BW255" s="43"/>
    </row>
    <row r="256" spans="1:75" s="36" customFormat="1">
      <c r="A256" s="61"/>
      <c r="B256" s="5"/>
      <c r="C256" s="5"/>
      <c r="D256" s="39"/>
      <c r="E256" s="40"/>
      <c r="F256" s="39"/>
      <c r="G256" s="5"/>
      <c r="H256" s="5"/>
      <c r="I256" s="3"/>
      <c r="J256" s="3"/>
      <c r="K256" s="3"/>
      <c r="L256" s="3"/>
      <c r="M256" s="41"/>
      <c r="N256" s="5"/>
      <c r="O256" s="42"/>
      <c r="P256" s="62"/>
      <c r="Q256" s="62"/>
      <c r="R256" s="5"/>
      <c r="S256" s="5"/>
      <c r="T256" s="3"/>
      <c r="U256" s="3"/>
      <c r="V256" s="3"/>
      <c r="W256" s="3"/>
      <c r="X256" s="61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3"/>
      <c r="BJ256" s="43"/>
      <c r="BK256" s="43"/>
      <c r="BL256" s="43"/>
      <c r="BM256" s="43"/>
      <c r="BN256" s="43"/>
      <c r="BO256" s="43"/>
      <c r="BP256" s="43"/>
      <c r="BQ256" s="43"/>
      <c r="BR256" s="43"/>
      <c r="BS256" s="43"/>
      <c r="BT256" s="43"/>
      <c r="BU256" s="43"/>
      <c r="BV256" s="43"/>
      <c r="BW256" s="43"/>
    </row>
    <row r="257" spans="1:75" s="36" customFormat="1">
      <c r="A257" s="61"/>
      <c r="B257" s="5"/>
      <c r="C257" s="5"/>
      <c r="D257" s="39"/>
      <c r="E257" s="40"/>
      <c r="F257" s="39"/>
      <c r="G257" s="5"/>
      <c r="H257" s="5"/>
      <c r="I257" s="3"/>
      <c r="J257" s="3"/>
      <c r="K257" s="3"/>
      <c r="L257" s="3"/>
      <c r="M257" s="41"/>
      <c r="N257" s="5"/>
      <c r="O257" s="42"/>
      <c r="P257" s="62"/>
      <c r="Q257" s="62"/>
      <c r="R257" s="5"/>
      <c r="S257" s="5"/>
      <c r="T257" s="3"/>
      <c r="U257" s="3"/>
      <c r="V257" s="3"/>
      <c r="W257" s="3"/>
      <c r="X257" s="61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  <c r="BB257" s="43"/>
      <c r="BC257" s="43"/>
      <c r="BD257" s="43"/>
      <c r="BE257" s="43"/>
      <c r="BF257" s="43"/>
      <c r="BG257" s="43"/>
      <c r="BH257" s="43"/>
      <c r="BI257" s="43"/>
      <c r="BJ257" s="43"/>
      <c r="BK257" s="43"/>
      <c r="BL257" s="43"/>
      <c r="BM257" s="43"/>
      <c r="BN257" s="43"/>
      <c r="BO257" s="43"/>
      <c r="BP257" s="43"/>
      <c r="BQ257" s="43"/>
      <c r="BR257" s="43"/>
      <c r="BS257" s="43"/>
      <c r="BT257" s="43"/>
      <c r="BU257" s="43"/>
      <c r="BV257" s="43"/>
      <c r="BW257" s="43"/>
    </row>
    <row r="258" spans="1:75" s="36" customFormat="1">
      <c r="A258" s="61"/>
      <c r="B258" s="5"/>
      <c r="C258" s="5"/>
      <c r="D258" s="39"/>
      <c r="E258" s="40"/>
      <c r="F258" s="39"/>
      <c r="G258" s="5"/>
      <c r="H258" s="5"/>
      <c r="I258" s="3"/>
      <c r="J258" s="3"/>
      <c r="K258" s="3"/>
      <c r="L258" s="3"/>
      <c r="M258" s="41"/>
      <c r="N258" s="5"/>
      <c r="O258" s="42"/>
      <c r="P258" s="62"/>
      <c r="Q258" s="62"/>
      <c r="R258" s="5"/>
      <c r="S258" s="5"/>
      <c r="T258" s="3"/>
      <c r="U258" s="3"/>
      <c r="V258" s="3"/>
      <c r="W258" s="3"/>
      <c r="X258" s="61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  <c r="BB258" s="43"/>
      <c r="BC258" s="43"/>
      <c r="BD258" s="43"/>
      <c r="BE258" s="43"/>
      <c r="BF258" s="43"/>
      <c r="BG258" s="43"/>
      <c r="BH258" s="43"/>
      <c r="BI258" s="43"/>
      <c r="BJ258" s="43"/>
      <c r="BK258" s="43"/>
      <c r="BL258" s="43"/>
      <c r="BM258" s="43"/>
      <c r="BN258" s="43"/>
      <c r="BO258" s="43"/>
      <c r="BP258" s="43"/>
      <c r="BQ258" s="43"/>
      <c r="BR258" s="43"/>
      <c r="BS258" s="43"/>
      <c r="BT258" s="43"/>
      <c r="BU258" s="43"/>
      <c r="BV258" s="43"/>
      <c r="BW258" s="43"/>
    </row>
    <row r="259" spans="1:75" s="36" customFormat="1">
      <c r="A259" s="61"/>
      <c r="B259" s="5"/>
      <c r="C259" s="5"/>
      <c r="D259" s="39"/>
      <c r="E259" s="40"/>
      <c r="F259" s="39"/>
      <c r="G259" s="5"/>
      <c r="H259" s="5"/>
      <c r="I259" s="3"/>
      <c r="J259" s="3"/>
      <c r="K259" s="3"/>
      <c r="L259" s="3"/>
      <c r="M259" s="41"/>
      <c r="N259" s="5"/>
      <c r="O259" s="42"/>
      <c r="P259" s="62"/>
      <c r="Q259" s="62"/>
      <c r="R259" s="5"/>
      <c r="S259" s="5"/>
      <c r="T259" s="3"/>
      <c r="U259" s="3"/>
      <c r="V259" s="3"/>
      <c r="W259" s="3"/>
      <c r="X259" s="61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  <c r="BB259" s="43"/>
      <c r="BC259" s="43"/>
      <c r="BD259" s="43"/>
      <c r="BE259" s="43"/>
      <c r="BF259" s="43"/>
      <c r="BG259" s="43"/>
      <c r="BH259" s="43"/>
      <c r="BI259" s="43"/>
      <c r="BJ259" s="43"/>
      <c r="BK259" s="43"/>
      <c r="BL259" s="43"/>
      <c r="BM259" s="43"/>
      <c r="BN259" s="43"/>
      <c r="BO259" s="43"/>
      <c r="BP259" s="43"/>
      <c r="BQ259" s="43"/>
      <c r="BR259" s="43"/>
      <c r="BS259" s="43"/>
      <c r="BT259" s="43"/>
      <c r="BU259" s="43"/>
      <c r="BV259" s="43"/>
      <c r="BW259" s="43"/>
    </row>
    <row r="260" spans="1:75" s="36" customFormat="1">
      <c r="A260" s="61"/>
      <c r="B260" s="5"/>
      <c r="C260" s="5"/>
      <c r="D260" s="39"/>
      <c r="E260" s="40"/>
      <c r="F260" s="39"/>
      <c r="G260" s="5"/>
      <c r="H260" s="5"/>
      <c r="I260" s="3"/>
      <c r="J260" s="3"/>
      <c r="K260" s="3"/>
      <c r="L260" s="3"/>
      <c r="M260" s="41"/>
      <c r="N260" s="5"/>
      <c r="O260" s="42"/>
      <c r="P260" s="62"/>
      <c r="Q260" s="62"/>
      <c r="R260" s="5"/>
      <c r="S260" s="5"/>
      <c r="T260" s="3"/>
      <c r="U260" s="3"/>
      <c r="V260" s="3"/>
      <c r="W260" s="3"/>
      <c r="X260" s="61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  <c r="BA260" s="43"/>
      <c r="BB260" s="43"/>
      <c r="BC260" s="43"/>
      <c r="BD260" s="43"/>
      <c r="BE260" s="43"/>
      <c r="BF260" s="43"/>
      <c r="BG260" s="43"/>
      <c r="BH260" s="43"/>
      <c r="BI260" s="43"/>
      <c r="BJ260" s="43"/>
      <c r="BK260" s="43"/>
      <c r="BL260" s="43"/>
      <c r="BM260" s="43"/>
      <c r="BN260" s="43"/>
      <c r="BO260" s="43"/>
      <c r="BP260" s="43"/>
      <c r="BQ260" s="43"/>
      <c r="BR260" s="43"/>
      <c r="BS260" s="43"/>
      <c r="BT260" s="43"/>
      <c r="BU260" s="43"/>
      <c r="BV260" s="43"/>
      <c r="BW260" s="43"/>
    </row>
    <row r="261" spans="1:75" s="36" customFormat="1">
      <c r="A261" s="61"/>
      <c r="B261" s="5"/>
      <c r="C261" s="5"/>
      <c r="D261" s="39"/>
      <c r="E261" s="40"/>
      <c r="F261" s="39"/>
      <c r="G261" s="5"/>
      <c r="H261" s="5"/>
      <c r="I261" s="3"/>
      <c r="J261" s="3"/>
      <c r="K261" s="3"/>
      <c r="L261" s="3"/>
      <c r="M261" s="41"/>
      <c r="N261" s="5"/>
      <c r="O261" s="42"/>
      <c r="P261" s="62"/>
      <c r="Q261" s="62"/>
      <c r="R261" s="5"/>
      <c r="S261" s="5"/>
      <c r="T261" s="3"/>
      <c r="U261" s="3"/>
      <c r="V261" s="3"/>
      <c r="W261" s="3"/>
      <c r="X261" s="61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  <c r="BB261" s="43"/>
      <c r="BC261" s="43"/>
      <c r="BD261" s="43"/>
      <c r="BE261" s="43"/>
      <c r="BF261" s="43"/>
      <c r="BG261" s="43"/>
      <c r="BH261" s="43"/>
      <c r="BI261" s="43"/>
      <c r="BJ261" s="43"/>
      <c r="BK261" s="43"/>
      <c r="BL261" s="43"/>
      <c r="BM261" s="43"/>
      <c r="BN261" s="43"/>
      <c r="BO261" s="43"/>
      <c r="BP261" s="43"/>
      <c r="BQ261" s="43"/>
      <c r="BR261" s="43"/>
      <c r="BS261" s="43"/>
      <c r="BT261" s="43"/>
      <c r="BU261" s="43"/>
      <c r="BV261" s="43"/>
      <c r="BW261" s="43"/>
    </row>
    <row r="262" spans="1:75" s="36" customFormat="1">
      <c r="A262" s="61"/>
      <c r="B262" s="5"/>
      <c r="C262" s="5"/>
      <c r="D262" s="39"/>
      <c r="E262" s="40"/>
      <c r="F262" s="39"/>
      <c r="G262" s="5"/>
      <c r="H262" s="5"/>
      <c r="I262" s="3"/>
      <c r="J262" s="3"/>
      <c r="K262" s="3"/>
      <c r="L262" s="3"/>
      <c r="M262" s="41"/>
      <c r="N262" s="5"/>
      <c r="O262" s="42"/>
      <c r="P262" s="62"/>
      <c r="Q262" s="62"/>
      <c r="R262" s="5"/>
      <c r="S262" s="5"/>
      <c r="T262" s="3"/>
      <c r="U262" s="3"/>
      <c r="V262" s="3"/>
      <c r="W262" s="3"/>
      <c r="X262" s="61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  <c r="BB262" s="43"/>
      <c r="BC262" s="43"/>
      <c r="BD262" s="43"/>
      <c r="BE262" s="43"/>
      <c r="BF262" s="43"/>
      <c r="BG262" s="43"/>
      <c r="BH262" s="43"/>
      <c r="BI262" s="43"/>
      <c r="BJ262" s="43"/>
      <c r="BK262" s="43"/>
      <c r="BL262" s="43"/>
      <c r="BM262" s="43"/>
      <c r="BN262" s="43"/>
      <c r="BO262" s="43"/>
      <c r="BP262" s="43"/>
      <c r="BQ262" s="43"/>
      <c r="BR262" s="43"/>
      <c r="BS262" s="43"/>
      <c r="BT262" s="43"/>
      <c r="BU262" s="43"/>
      <c r="BV262" s="43"/>
      <c r="BW262" s="43"/>
    </row>
    <row r="263" spans="1:75" s="36" customFormat="1">
      <c r="A263" s="61"/>
      <c r="B263" s="5"/>
      <c r="C263" s="5"/>
      <c r="D263" s="39"/>
      <c r="E263" s="40"/>
      <c r="F263" s="39"/>
      <c r="G263" s="5"/>
      <c r="H263" s="5"/>
      <c r="I263" s="3"/>
      <c r="J263" s="3"/>
      <c r="K263" s="3"/>
      <c r="L263" s="3"/>
      <c r="M263" s="41"/>
      <c r="N263" s="5"/>
      <c r="O263" s="42"/>
      <c r="P263" s="62"/>
      <c r="Q263" s="62"/>
      <c r="R263" s="5"/>
      <c r="S263" s="5"/>
      <c r="T263" s="3"/>
      <c r="U263" s="3"/>
      <c r="V263" s="3"/>
      <c r="W263" s="3"/>
      <c r="X263" s="61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  <c r="BF263" s="43"/>
      <c r="BG263" s="43"/>
      <c r="BH263" s="43"/>
      <c r="BI263" s="43"/>
      <c r="BJ263" s="43"/>
      <c r="BK263" s="43"/>
      <c r="BL263" s="43"/>
      <c r="BM263" s="43"/>
      <c r="BN263" s="43"/>
      <c r="BO263" s="43"/>
      <c r="BP263" s="43"/>
      <c r="BQ263" s="43"/>
      <c r="BR263" s="43"/>
      <c r="BS263" s="43"/>
      <c r="BT263" s="43"/>
      <c r="BU263" s="43"/>
      <c r="BV263" s="43"/>
      <c r="BW263" s="43"/>
    </row>
    <row r="264" spans="1:75" s="36" customFormat="1">
      <c r="A264" s="61"/>
      <c r="B264" s="5"/>
      <c r="C264" s="5"/>
      <c r="D264" s="39"/>
      <c r="E264" s="40"/>
      <c r="F264" s="39"/>
      <c r="G264" s="5"/>
      <c r="H264" s="5"/>
      <c r="I264" s="3"/>
      <c r="J264" s="3"/>
      <c r="K264" s="3"/>
      <c r="L264" s="3"/>
      <c r="M264" s="41"/>
      <c r="N264" s="5"/>
      <c r="O264" s="42"/>
      <c r="P264" s="62"/>
      <c r="Q264" s="62"/>
      <c r="R264" s="5"/>
      <c r="S264" s="5"/>
      <c r="T264" s="3"/>
      <c r="U264" s="3"/>
      <c r="V264" s="3"/>
      <c r="W264" s="3"/>
      <c r="X264" s="61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  <c r="BB264" s="43"/>
      <c r="BC264" s="43"/>
      <c r="BD264" s="43"/>
      <c r="BE264" s="43"/>
      <c r="BF264" s="43"/>
      <c r="BG264" s="43"/>
      <c r="BH264" s="43"/>
      <c r="BI264" s="43"/>
      <c r="BJ264" s="43"/>
      <c r="BK264" s="43"/>
      <c r="BL264" s="43"/>
      <c r="BM264" s="43"/>
      <c r="BN264" s="43"/>
      <c r="BO264" s="43"/>
      <c r="BP264" s="43"/>
      <c r="BQ264" s="43"/>
      <c r="BR264" s="43"/>
      <c r="BS264" s="43"/>
      <c r="BT264" s="43"/>
      <c r="BU264" s="43"/>
      <c r="BV264" s="43"/>
      <c r="BW264" s="43"/>
    </row>
    <row r="265" spans="1:75" s="36" customFormat="1">
      <c r="A265" s="61"/>
      <c r="B265" s="5"/>
      <c r="C265" s="5"/>
      <c r="D265" s="39"/>
      <c r="E265" s="40"/>
      <c r="F265" s="39"/>
      <c r="G265" s="5"/>
      <c r="H265" s="5"/>
      <c r="I265" s="3"/>
      <c r="J265" s="3"/>
      <c r="K265" s="3"/>
      <c r="L265" s="3"/>
      <c r="M265" s="41"/>
      <c r="N265" s="5"/>
      <c r="O265" s="42"/>
      <c r="P265" s="62"/>
      <c r="Q265" s="62"/>
      <c r="R265" s="5"/>
      <c r="S265" s="5"/>
      <c r="T265" s="3"/>
      <c r="U265" s="3"/>
      <c r="V265" s="3"/>
      <c r="W265" s="3"/>
      <c r="X265" s="61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  <c r="BB265" s="43"/>
      <c r="BC265" s="43"/>
      <c r="BD265" s="43"/>
      <c r="BE265" s="43"/>
      <c r="BF265" s="43"/>
      <c r="BG265" s="43"/>
      <c r="BH265" s="43"/>
      <c r="BI265" s="43"/>
      <c r="BJ265" s="43"/>
      <c r="BK265" s="43"/>
      <c r="BL265" s="43"/>
      <c r="BM265" s="43"/>
      <c r="BN265" s="43"/>
      <c r="BO265" s="43"/>
      <c r="BP265" s="43"/>
      <c r="BQ265" s="43"/>
      <c r="BR265" s="43"/>
      <c r="BS265" s="43"/>
      <c r="BT265" s="43"/>
      <c r="BU265" s="43"/>
      <c r="BV265" s="43"/>
      <c r="BW265" s="43"/>
    </row>
    <row r="266" spans="1:75" s="36" customFormat="1">
      <c r="A266" s="61"/>
      <c r="B266" s="5"/>
      <c r="C266" s="5"/>
      <c r="D266" s="39"/>
      <c r="E266" s="40"/>
      <c r="F266" s="39"/>
      <c r="G266" s="5"/>
      <c r="H266" s="5"/>
      <c r="I266" s="3"/>
      <c r="J266" s="3"/>
      <c r="K266" s="3"/>
      <c r="L266" s="3"/>
      <c r="M266" s="41"/>
      <c r="N266" s="5"/>
      <c r="O266" s="42"/>
      <c r="P266" s="62"/>
      <c r="Q266" s="62"/>
      <c r="R266" s="5"/>
      <c r="S266" s="5"/>
      <c r="T266" s="3"/>
      <c r="U266" s="3"/>
      <c r="V266" s="3"/>
      <c r="W266" s="3"/>
      <c r="X266" s="61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  <c r="BB266" s="43"/>
      <c r="BC266" s="43"/>
      <c r="BD266" s="43"/>
      <c r="BE266" s="43"/>
      <c r="BF266" s="43"/>
      <c r="BG266" s="43"/>
      <c r="BH266" s="43"/>
      <c r="BI266" s="43"/>
      <c r="BJ266" s="43"/>
      <c r="BK266" s="43"/>
      <c r="BL266" s="43"/>
      <c r="BM266" s="43"/>
      <c r="BN266" s="43"/>
      <c r="BO266" s="43"/>
      <c r="BP266" s="43"/>
      <c r="BQ266" s="43"/>
      <c r="BR266" s="43"/>
      <c r="BS266" s="43"/>
      <c r="BT266" s="43"/>
      <c r="BU266" s="43"/>
      <c r="BV266" s="43"/>
      <c r="BW266" s="43"/>
    </row>
    <row r="267" spans="1:75" s="36" customFormat="1">
      <c r="A267" s="61"/>
      <c r="B267" s="5"/>
      <c r="C267" s="5"/>
      <c r="D267" s="39"/>
      <c r="E267" s="40"/>
      <c r="F267" s="39"/>
      <c r="G267" s="5"/>
      <c r="H267" s="5"/>
      <c r="I267" s="3"/>
      <c r="J267" s="3"/>
      <c r="K267" s="3"/>
      <c r="L267" s="3"/>
      <c r="M267" s="41"/>
      <c r="N267" s="5"/>
      <c r="O267" s="42"/>
      <c r="P267" s="62"/>
      <c r="Q267" s="62"/>
      <c r="R267" s="5"/>
      <c r="S267" s="5"/>
      <c r="T267" s="3"/>
      <c r="U267" s="3"/>
      <c r="V267" s="3"/>
      <c r="W267" s="3"/>
      <c r="X267" s="61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  <c r="BC267" s="43"/>
      <c r="BD267" s="43"/>
      <c r="BE267" s="43"/>
      <c r="BF267" s="43"/>
      <c r="BG267" s="43"/>
      <c r="BH267" s="43"/>
      <c r="BI267" s="43"/>
      <c r="BJ267" s="43"/>
      <c r="BK267" s="43"/>
      <c r="BL267" s="43"/>
      <c r="BM267" s="43"/>
      <c r="BN267" s="43"/>
      <c r="BO267" s="43"/>
      <c r="BP267" s="43"/>
      <c r="BQ267" s="43"/>
      <c r="BR267" s="43"/>
      <c r="BS267" s="43"/>
      <c r="BT267" s="43"/>
      <c r="BU267" s="43"/>
      <c r="BV267" s="43"/>
      <c r="BW267" s="43"/>
    </row>
    <row r="268" spans="1:75" s="36" customFormat="1">
      <c r="A268" s="61"/>
      <c r="B268" s="5"/>
      <c r="C268" s="5"/>
      <c r="D268" s="39"/>
      <c r="E268" s="40"/>
      <c r="F268" s="39"/>
      <c r="G268" s="5"/>
      <c r="H268" s="5"/>
      <c r="I268" s="3"/>
      <c r="J268" s="3"/>
      <c r="K268" s="3"/>
      <c r="L268" s="3"/>
      <c r="M268" s="41"/>
      <c r="N268" s="5"/>
      <c r="O268" s="42"/>
      <c r="P268" s="62"/>
      <c r="Q268" s="62"/>
      <c r="R268" s="5"/>
      <c r="S268" s="5"/>
      <c r="T268" s="3"/>
      <c r="U268" s="3"/>
      <c r="V268" s="3"/>
      <c r="W268" s="3"/>
      <c r="X268" s="61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  <c r="BB268" s="43"/>
      <c r="BC268" s="43"/>
      <c r="BD268" s="43"/>
      <c r="BE268" s="43"/>
      <c r="BF268" s="43"/>
      <c r="BG268" s="43"/>
      <c r="BH268" s="43"/>
      <c r="BI268" s="43"/>
      <c r="BJ268" s="43"/>
      <c r="BK268" s="43"/>
      <c r="BL268" s="43"/>
      <c r="BM268" s="43"/>
      <c r="BN268" s="43"/>
      <c r="BO268" s="43"/>
      <c r="BP268" s="43"/>
      <c r="BQ268" s="43"/>
      <c r="BR268" s="43"/>
      <c r="BS268" s="43"/>
      <c r="BT268" s="43"/>
      <c r="BU268" s="43"/>
      <c r="BV268" s="43"/>
      <c r="BW268" s="43"/>
    </row>
    <row r="269" spans="1:75" s="36" customFormat="1">
      <c r="A269" s="61"/>
      <c r="B269" s="5"/>
      <c r="C269" s="5"/>
      <c r="D269" s="39"/>
      <c r="E269" s="40"/>
      <c r="F269" s="39"/>
      <c r="G269" s="5"/>
      <c r="H269" s="5"/>
      <c r="I269" s="3"/>
      <c r="J269" s="3"/>
      <c r="K269" s="3"/>
      <c r="L269" s="3"/>
      <c r="M269" s="41"/>
      <c r="N269" s="5"/>
      <c r="O269" s="42"/>
      <c r="P269" s="62"/>
      <c r="Q269" s="62"/>
      <c r="R269" s="5"/>
      <c r="S269" s="5"/>
      <c r="T269" s="3"/>
      <c r="U269" s="3"/>
      <c r="V269" s="3"/>
      <c r="W269" s="3"/>
      <c r="X269" s="61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  <c r="BB269" s="43"/>
      <c r="BC269" s="43"/>
      <c r="BD269" s="43"/>
      <c r="BE269" s="43"/>
      <c r="BF269" s="43"/>
      <c r="BG269" s="43"/>
      <c r="BH269" s="43"/>
      <c r="BI269" s="43"/>
      <c r="BJ269" s="43"/>
      <c r="BK269" s="43"/>
      <c r="BL269" s="43"/>
      <c r="BM269" s="43"/>
      <c r="BN269" s="43"/>
      <c r="BO269" s="43"/>
      <c r="BP269" s="43"/>
      <c r="BQ269" s="43"/>
      <c r="BR269" s="43"/>
      <c r="BS269" s="43"/>
      <c r="BT269" s="43"/>
      <c r="BU269" s="43"/>
      <c r="BV269" s="43"/>
      <c r="BW269" s="43"/>
    </row>
    <row r="270" spans="1:75" s="36" customFormat="1">
      <c r="A270" s="61"/>
      <c r="B270" s="5"/>
      <c r="C270" s="5"/>
      <c r="D270" s="39"/>
      <c r="E270" s="40"/>
      <c r="F270" s="39"/>
      <c r="G270" s="5"/>
      <c r="H270" s="5"/>
      <c r="I270" s="3"/>
      <c r="J270" s="3"/>
      <c r="K270" s="3"/>
      <c r="L270" s="3"/>
      <c r="M270" s="41"/>
      <c r="N270" s="5"/>
      <c r="O270" s="42"/>
      <c r="P270" s="62"/>
      <c r="Q270" s="62"/>
      <c r="R270" s="5"/>
      <c r="S270" s="5"/>
      <c r="T270" s="3"/>
      <c r="U270" s="3"/>
      <c r="V270" s="3"/>
      <c r="W270" s="3"/>
      <c r="X270" s="61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  <c r="BI270" s="43"/>
      <c r="BJ270" s="43"/>
      <c r="BK270" s="43"/>
      <c r="BL270" s="43"/>
      <c r="BM270" s="43"/>
      <c r="BN270" s="43"/>
      <c r="BO270" s="43"/>
      <c r="BP270" s="43"/>
      <c r="BQ270" s="43"/>
      <c r="BR270" s="43"/>
      <c r="BS270" s="43"/>
      <c r="BT270" s="43"/>
      <c r="BU270" s="43"/>
      <c r="BV270" s="43"/>
      <c r="BW270" s="43"/>
    </row>
    <row r="271" spans="1:75" s="36" customFormat="1">
      <c r="A271" s="61"/>
      <c r="B271" s="5"/>
      <c r="C271" s="5"/>
      <c r="D271" s="39"/>
      <c r="E271" s="40"/>
      <c r="F271" s="39"/>
      <c r="G271" s="5"/>
      <c r="H271" s="5"/>
      <c r="I271" s="3"/>
      <c r="J271" s="3"/>
      <c r="K271" s="3"/>
      <c r="L271" s="3"/>
      <c r="M271" s="41"/>
      <c r="N271" s="5"/>
      <c r="O271" s="42"/>
      <c r="P271" s="62"/>
      <c r="Q271" s="62"/>
      <c r="R271" s="5"/>
      <c r="S271" s="5"/>
      <c r="T271" s="3"/>
      <c r="U271" s="3"/>
      <c r="V271" s="3"/>
      <c r="W271" s="3"/>
      <c r="X271" s="61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  <c r="BI271" s="43"/>
      <c r="BJ271" s="43"/>
      <c r="BK271" s="43"/>
      <c r="BL271" s="43"/>
      <c r="BM271" s="43"/>
      <c r="BN271" s="43"/>
      <c r="BO271" s="43"/>
      <c r="BP271" s="43"/>
      <c r="BQ271" s="43"/>
      <c r="BR271" s="43"/>
      <c r="BS271" s="43"/>
      <c r="BT271" s="43"/>
      <c r="BU271" s="43"/>
      <c r="BV271" s="43"/>
      <c r="BW271" s="43"/>
    </row>
    <row r="272" spans="1:75" s="36" customFormat="1">
      <c r="A272" s="61"/>
      <c r="B272" s="5"/>
      <c r="C272" s="5"/>
      <c r="D272" s="39"/>
      <c r="E272" s="40"/>
      <c r="F272" s="39"/>
      <c r="G272" s="5"/>
      <c r="H272" s="5"/>
      <c r="I272" s="3"/>
      <c r="J272" s="3"/>
      <c r="K272" s="3"/>
      <c r="L272" s="3"/>
      <c r="M272" s="41"/>
      <c r="N272" s="5"/>
      <c r="O272" s="42"/>
      <c r="P272" s="62"/>
      <c r="Q272" s="62"/>
      <c r="R272" s="5"/>
      <c r="S272" s="5"/>
      <c r="T272" s="3"/>
      <c r="U272" s="3"/>
      <c r="V272" s="3"/>
      <c r="W272" s="3"/>
      <c r="X272" s="61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  <c r="BA272" s="43"/>
      <c r="BB272" s="43"/>
      <c r="BC272" s="43"/>
      <c r="BD272" s="43"/>
      <c r="BE272" s="43"/>
      <c r="BF272" s="43"/>
      <c r="BG272" s="43"/>
      <c r="BH272" s="43"/>
      <c r="BI272" s="43"/>
      <c r="BJ272" s="43"/>
      <c r="BK272" s="43"/>
      <c r="BL272" s="43"/>
      <c r="BM272" s="43"/>
      <c r="BN272" s="43"/>
      <c r="BO272" s="43"/>
      <c r="BP272" s="43"/>
      <c r="BQ272" s="43"/>
      <c r="BR272" s="43"/>
      <c r="BS272" s="43"/>
      <c r="BT272" s="43"/>
      <c r="BU272" s="43"/>
      <c r="BV272" s="43"/>
      <c r="BW272" s="43"/>
    </row>
    <row r="273" spans="1:75" s="36" customFormat="1">
      <c r="A273" s="61"/>
      <c r="B273" s="5"/>
      <c r="C273" s="5"/>
      <c r="D273" s="39"/>
      <c r="E273" s="40"/>
      <c r="F273" s="39"/>
      <c r="G273" s="5"/>
      <c r="H273" s="5"/>
      <c r="I273" s="3"/>
      <c r="J273" s="3"/>
      <c r="K273" s="3"/>
      <c r="L273" s="3"/>
      <c r="M273" s="41"/>
      <c r="N273" s="5"/>
      <c r="O273" s="42"/>
      <c r="P273" s="62"/>
      <c r="Q273" s="62"/>
      <c r="R273" s="5"/>
      <c r="S273" s="5"/>
      <c r="T273" s="3"/>
      <c r="U273" s="3"/>
      <c r="V273" s="3"/>
      <c r="W273" s="3"/>
      <c r="X273" s="61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  <c r="BA273" s="43"/>
      <c r="BB273" s="43"/>
      <c r="BC273" s="43"/>
      <c r="BD273" s="43"/>
      <c r="BE273" s="43"/>
      <c r="BF273" s="43"/>
      <c r="BG273" s="43"/>
      <c r="BH273" s="43"/>
      <c r="BI273" s="43"/>
      <c r="BJ273" s="43"/>
      <c r="BK273" s="43"/>
      <c r="BL273" s="43"/>
      <c r="BM273" s="43"/>
      <c r="BN273" s="43"/>
      <c r="BO273" s="43"/>
      <c r="BP273" s="43"/>
      <c r="BQ273" s="43"/>
      <c r="BR273" s="43"/>
      <c r="BS273" s="43"/>
      <c r="BT273" s="43"/>
      <c r="BU273" s="43"/>
      <c r="BV273" s="43"/>
      <c r="BW273" s="43"/>
    </row>
    <row r="274" spans="1:75" s="36" customFormat="1">
      <c r="A274" s="61"/>
      <c r="B274" s="5"/>
      <c r="C274" s="5"/>
      <c r="D274" s="39"/>
      <c r="E274" s="40"/>
      <c r="F274" s="39"/>
      <c r="G274" s="5"/>
      <c r="H274" s="5"/>
      <c r="I274" s="3"/>
      <c r="J274" s="3"/>
      <c r="K274" s="3"/>
      <c r="L274" s="3"/>
      <c r="M274" s="41"/>
      <c r="N274" s="5"/>
      <c r="O274" s="42"/>
      <c r="P274" s="62"/>
      <c r="Q274" s="62"/>
      <c r="R274" s="5"/>
      <c r="S274" s="5"/>
      <c r="T274" s="3"/>
      <c r="U274" s="3"/>
      <c r="V274" s="3"/>
      <c r="W274" s="3"/>
      <c r="X274" s="61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43"/>
      <c r="BH274" s="43"/>
      <c r="BI274" s="43"/>
      <c r="BJ274" s="43"/>
      <c r="BK274" s="43"/>
      <c r="BL274" s="43"/>
      <c r="BM274" s="43"/>
      <c r="BN274" s="43"/>
      <c r="BO274" s="43"/>
      <c r="BP274" s="43"/>
      <c r="BQ274" s="43"/>
      <c r="BR274" s="43"/>
      <c r="BS274" s="43"/>
      <c r="BT274" s="43"/>
      <c r="BU274" s="43"/>
      <c r="BV274" s="43"/>
      <c r="BW274" s="43"/>
    </row>
    <row r="275" spans="1:75" s="36" customFormat="1">
      <c r="A275" s="61"/>
      <c r="B275" s="5"/>
      <c r="C275" s="5"/>
      <c r="D275" s="39"/>
      <c r="E275" s="40"/>
      <c r="F275" s="39"/>
      <c r="G275" s="5"/>
      <c r="H275" s="5"/>
      <c r="I275" s="3"/>
      <c r="J275" s="3"/>
      <c r="K275" s="3"/>
      <c r="L275" s="3"/>
      <c r="M275" s="41"/>
      <c r="N275" s="5"/>
      <c r="O275" s="42"/>
      <c r="P275" s="62"/>
      <c r="Q275" s="62"/>
      <c r="R275" s="5"/>
      <c r="S275" s="5"/>
      <c r="T275" s="3"/>
      <c r="U275" s="3"/>
      <c r="V275" s="3"/>
      <c r="W275" s="3"/>
      <c r="X275" s="61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  <c r="BA275" s="43"/>
      <c r="BB275" s="43"/>
      <c r="BC275" s="43"/>
      <c r="BD275" s="43"/>
      <c r="BE275" s="43"/>
      <c r="BF275" s="43"/>
      <c r="BG275" s="43"/>
      <c r="BH275" s="43"/>
      <c r="BI275" s="43"/>
      <c r="BJ275" s="43"/>
      <c r="BK275" s="43"/>
      <c r="BL275" s="43"/>
      <c r="BM275" s="43"/>
      <c r="BN275" s="43"/>
      <c r="BO275" s="43"/>
      <c r="BP275" s="43"/>
      <c r="BQ275" s="43"/>
      <c r="BR275" s="43"/>
      <c r="BS275" s="43"/>
      <c r="BT275" s="43"/>
      <c r="BU275" s="43"/>
      <c r="BV275" s="43"/>
      <c r="BW275" s="43"/>
    </row>
    <row r="276" spans="1:75" s="36" customFormat="1">
      <c r="A276" s="61"/>
      <c r="B276" s="5"/>
      <c r="C276" s="5"/>
      <c r="D276" s="39"/>
      <c r="E276" s="40"/>
      <c r="F276" s="39"/>
      <c r="G276" s="5"/>
      <c r="H276" s="5"/>
      <c r="I276" s="3"/>
      <c r="J276" s="3"/>
      <c r="K276" s="3"/>
      <c r="L276" s="3"/>
      <c r="M276" s="41"/>
      <c r="N276" s="5"/>
      <c r="O276" s="42"/>
      <c r="P276" s="62"/>
      <c r="Q276" s="62"/>
      <c r="R276" s="5"/>
      <c r="S276" s="5"/>
      <c r="T276" s="3"/>
      <c r="U276" s="3"/>
      <c r="V276" s="3"/>
      <c r="W276" s="3"/>
      <c r="X276" s="61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  <c r="AX276" s="43"/>
      <c r="AY276" s="43"/>
      <c r="AZ276" s="43"/>
      <c r="BA276" s="43"/>
      <c r="BB276" s="43"/>
      <c r="BC276" s="43"/>
      <c r="BD276" s="43"/>
      <c r="BE276" s="43"/>
      <c r="BF276" s="43"/>
      <c r="BG276" s="43"/>
      <c r="BH276" s="43"/>
      <c r="BI276" s="43"/>
      <c r="BJ276" s="43"/>
      <c r="BK276" s="43"/>
      <c r="BL276" s="43"/>
      <c r="BM276" s="43"/>
      <c r="BN276" s="43"/>
      <c r="BO276" s="43"/>
      <c r="BP276" s="43"/>
      <c r="BQ276" s="43"/>
      <c r="BR276" s="43"/>
      <c r="BS276" s="43"/>
      <c r="BT276" s="43"/>
      <c r="BU276" s="43"/>
      <c r="BV276" s="43"/>
      <c r="BW276" s="43"/>
    </row>
    <row r="277" spans="1:75" s="36" customFormat="1">
      <c r="A277" s="61"/>
      <c r="B277" s="5"/>
      <c r="C277" s="5"/>
      <c r="D277" s="39"/>
      <c r="E277" s="40"/>
      <c r="F277" s="39"/>
      <c r="G277" s="5"/>
      <c r="H277" s="5"/>
      <c r="I277" s="3"/>
      <c r="J277" s="3"/>
      <c r="K277" s="3"/>
      <c r="L277" s="3"/>
      <c r="M277" s="41"/>
      <c r="N277" s="5"/>
      <c r="O277" s="42"/>
      <c r="P277" s="62"/>
      <c r="Q277" s="62"/>
      <c r="R277" s="5"/>
      <c r="S277" s="5"/>
      <c r="T277" s="3"/>
      <c r="U277" s="3"/>
      <c r="V277" s="3"/>
      <c r="W277" s="3"/>
      <c r="X277" s="61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  <c r="AX277" s="43"/>
      <c r="AY277" s="43"/>
      <c r="AZ277" s="43"/>
      <c r="BA277" s="43"/>
      <c r="BB277" s="43"/>
      <c r="BC277" s="43"/>
      <c r="BD277" s="43"/>
      <c r="BE277" s="43"/>
      <c r="BF277" s="43"/>
      <c r="BG277" s="43"/>
      <c r="BH277" s="43"/>
      <c r="BI277" s="43"/>
      <c r="BJ277" s="43"/>
      <c r="BK277" s="43"/>
      <c r="BL277" s="43"/>
      <c r="BM277" s="43"/>
      <c r="BN277" s="43"/>
      <c r="BO277" s="43"/>
      <c r="BP277" s="43"/>
      <c r="BQ277" s="43"/>
      <c r="BR277" s="43"/>
      <c r="BS277" s="43"/>
      <c r="BT277" s="43"/>
      <c r="BU277" s="43"/>
      <c r="BV277" s="43"/>
      <c r="BW277" s="43"/>
    </row>
    <row r="278" spans="1:75" s="36" customFormat="1">
      <c r="A278" s="61"/>
      <c r="B278" s="5"/>
      <c r="C278" s="5"/>
      <c r="D278" s="39"/>
      <c r="E278" s="40"/>
      <c r="F278" s="39"/>
      <c r="G278" s="5"/>
      <c r="H278" s="5"/>
      <c r="I278" s="3"/>
      <c r="J278" s="3"/>
      <c r="K278" s="3"/>
      <c r="L278" s="3"/>
      <c r="M278" s="41"/>
      <c r="N278" s="5"/>
      <c r="O278" s="42"/>
      <c r="P278" s="62"/>
      <c r="Q278" s="62"/>
      <c r="R278" s="5"/>
      <c r="S278" s="5"/>
      <c r="T278" s="3"/>
      <c r="U278" s="3"/>
      <c r="V278" s="3"/>
      <c r="W278" s="3"/>
      <c r="X278" s="61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/>
      <c r="BK278" s="43"/>
      <c r="BL278" s="43"/>
      <c r="BM278" s="43"/>
      <c r="BN278" s="43"/>
      <c r="BO278" s="43"/>
      <c r="BP278" s="43"/>
      <c r="BQ278" s="43"/>
      <c r="BR278" s="43"/>
      <c r="BS278" s="43"/>
      <c r="BT278" s="43"/>
      <c r="BU278" s="43"/>
      <c r="BV278" s="43"/>
      <c r="BW278" s="43"/>
    </row>
    <row r="279" spans="1:75" s="36" customFormat="1">
      <c r="A279" s="61"/>
      <c r="B279" s="5"/>
      <c r="C279" s="5"/>
      <c r="D279" s="39"/>
      <c r="E279" s="40"/>
      <c r="F279" s="39"/>
      <c r="G279" s="5"/>
      <c r="H279" s="5"/>
      <c r="I279" s="3"/>
      <c r="J279" s="3"/>
      <c r="K279" s="3"/>
      <c r="L279" s="3"/>
      <c r="M279" s="41"/>
      <c r="N279" s="5"/>
      <c r="O279" s="42"/>
      <c r="P279" s="62"/>
      <c r="Q279" s="62"/>
      <c r="R279" s="5"/>
      <c r="S279" s="5"/>
      <c r="T279" s="3"/>
      <c r="U279" s="3"/>
      <c r="V279" s="3"/>
      <c r="W279" s="3"/>
      <c r="X279" s="61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  <c r="BB279" s="43"/>
      <c r="BC279" s="43"/>
      <c r="BD279" s="43"/>
      <c r="BE279" s="43"/>
      <c r="BF279" s="43"/>
      <c r="BG279" s="43"/>
      <c r="BH279" s="43"/>
      <c r="BI279" s="43"/>
      <c r="BJ279" s="43"/>
      <c r="BK279" s="43"/>
      <c r="BL279" s="43"/>
      <c r="BM279" s="43"/>
      <c r="BN279" s="43"/>
      <c r="BO279" s="43"/>
      <c r="BP279" s="43"/>
      <c r="BQ279" s="43"/>
      <c r="BR279" s="43"/>
      <c r="BS279" s="43"/>
      <c r="BT279" s="43"/>
      <c r="BU279" s="43"/>
      <c r="BV279" s="43"/>
      <c r="BW279" s="43"/>
    </row>
    <row r="280" spans="1:75" s="36" customFormat="1">
      <c r="A280" s="61"/>
      <c r="B280" s="5"/>
      <c r="C280" s="5"/>
      <c r="D280" s="39"/>
      <c r="E280" s="40"/>
      <c r="F280" s="39"/>
      <c r="G280" s="5"/>
      <c r="H280" s="5"/>
      <c r="I280" s="3"/>
      <c r="J280" s="3"/>
      <c r="K280" s="3"/>
      <c r="L280" s="3"/>
      <c r="M280" s="41"/>
      <c r="N280" s="5"/>
      <c r="O280" s="42"/>
      <c r="P280" s="62"/>
      <c r="Q280" s="62"/>
      <c r="R280" s="5"/>
      <c r="S280" s="5"/>
      <c r="T280" s="3"/>
      <c r="U280" s="3"/>
      <c r="V280" s="3"/>
      <c r="W280" s="3"/>
      <c r="X280" s="61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  <c r="AU280" s="43"/>
      <c r="AV280" s="43"/>
      <c r="AW280" s="43"/>
      <c r="AX280" s="43"/>
      <c r="AY280" s="43"/>
      <c r="AZ280" s="43"/>
      <c r="BA280" s="43"/>
      <c r="BB280" s="43"/>
      <c r="BC280" s="43"/>
      <c r="BD280" s="43"/>
      <c r="BE280" s="43"/>
      <c r="BF280" s="43"/>
      <c r="BG280" s="43"/>
      <c r="BH280" s="43"/>
      <c r="BI280" s="43"/>
      <c r="BJ280" s="43"/>
      <c r="BK280" s="43"/>
      <c r="BL280" s="43"/>
      <c r="BM280" s="43"/>
      <c r="BN280" s="43"/>
      <c r="BO280" s="43"/>
      <c r="BP280" s="43"/>
      <c r="BQ280" s="43"/>
      <c r="BR280" s="43"/>
      <c r="BS280" s="43"/>
      <c r="BT280" s="43"/>
      <c r="BU280" s="43"/>
      <c r="BV280" s="43"/>
      <c r="BW280" s="43"/>
    </row>
    <row r="281" spans="1:75" s="36" customFormat="1">
      <c r="A281" s="61"/>
      <c r="B281" s="5"/>
      <c r="C281" s="5"/>
      <c r="D281" s="39"/>
      <c r="E281" s="40"/>
      <c r="F281" s="39"/>
      <c r="G281" s="5"/>
      <c r="H281" s="5"/>
      <c r="I281" s="3"/>
      <c r="J281" s="3"/>
      <c r="K281" s="3"/>
      <c r="L281" s="3"/>
      <c r="M281" s="41"/>
      <c r="N281" s="5"/>
      <c r="O281" s="42"/>
      <c r="P281" s="62"/>
      <c r="Q281" s="62"/>
      <c r="R281" s="5"/>
      <c r="S281" s="5"/>
      <c r="T281" s="3"/>
      <c r="U281" s="3"/>
      <c r="V281" s="3"/>
      <c r="W281" s="3"/>
      <c r="X281" s="61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  <c r="BI281" s="43"/>
      <c r="BJ281" s="43"/>
      <c r="BK281" s="43"/>
      <c r="BL281" s="43"/>
      <c r="BM281" s="43"/>
      <c r="BN281" s="43"/>
      <c r="BO281" s="43"/>
      <c r="BP281" s="43"/>
      <c r="BQ281" s="43"/>
      <c r="BR281" s="43"/>
      <c r="BS281" s="43"/>
      <c r="BT281" s="43"/>
      <c r="BU281" s="43"/>
      <c r="BV281" s="43"/>
      <c r="BW281" s="43"/>
    </row>
    <row r="282" spans="1:75" s="36" customFormat="1">
      <c r="A282" s="61"/>
      <c r="B282" s="5"/>
      <c r="C282" s="5"/>
      <c r="D282" s="39"/>
      <c r="E282" s="40"/>
      <c r="F282" s="39"/>
      <c r="G282" s="5"/>
      <c r="H282" s="5"/>
      <c r="I282" s="3"/>
      <c r="J282" s="3"/>
      <c r="K282" s="3"/>
      <c r="L282" s="3"/>
      <c r="M282" s="41"/>
      <c r="N282" s="5"/>
      <c r="O282" s="42"/>
      <c r="P282" s="62"/>
      <c r="Q282" s="62"/>
      <c r="R282" s="5"/>
      <c r="S282" s="5"/>
      <c r="T282" s="3"/>
      <c r="U282" s="3"/>
      <c r="V282" s="3"/>
      <c r="W282" s="3"/>
      <c r="X282" s="61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  <c r="BC282" s="43"/>
      <c r="BD282" s="43"/>
      <c r="BE282" s="43"/>
      <c r="BF282" s="43"/>
      <c r="BG282" s="43"/>
      <c r="BH282" s="43"/>
      <c r="BI282" s="43"/>
      <c r="BJ282" s="43"/>
      <c r="BK282" s="43"/>
      <c r="BL282" s="43"/>
      <c r="BM282" s="43"/>
      <c r="BN282" s="43"/>
      <c r="BO282" s="43"/>
      <c r="BP282" s="43"/>
      <c r="BQ282" s="43"/>
      <c r="BR282" s="43"/>
      <c r="BS282" s="43"/>
      <c r="BT282" s="43"/>
      <c r="BU282" s="43"/>
      <c r="BV282" s="43"/>
      <c r="BW282" s="43"/>
    </row>
    <row r="283" spans="1:75" s="36" customFormat="1">
      <c r="A283" s="61"/>
      <c r="B283" s="5"/>
      <c r="C283" s="5"/>
      <c r="D283" s="39"/>
      <c r="E283" s="40"/>
      <c r="F283" s="39"/>
      <c r="G283" s="5"/>
      <c r="H283" s="5"/>
      <c r="I283" s="3"/>
      <c r="J283" s="3"/>
      <c r="K283" s="3"/>
      <c r="L283" s="3"/>
      <c r="M283" s="41"/>
      <c r="N283" s="5"/>
      <c r="O283" s="42"/>
      <c r="P283" s="62"/>
      <c r="Q283" s="62"/>
      <c r="R283" s="5"/>
      <c r="S283" s="5"/>
      <c r="T283" s="3"/>
      <c r="U283" s="3"/>
      <c r="V283" s="3"/>
      <c r="W283" s="3"/>
      <c r="X283" s="61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  <c r="AT283" s="43"/>
      <c r="AU283" s="43"/>
      <c r="AV283" s="43"/>
      <c r="AW283" s="43"/>
      <c r="AX283" s="43"/>
      <c r="AY283" s="43"/>
      <c r="AZ283" s="43"/>
      <c r="BA283" s="43"/>
      <c r="BB283" s="43"/>
      <c r="BC283" s="43"/>
      <c r="BD283" s="43"/>
      <c r="BE283" s="43"/>
      <c r="BF283" s="43"/>
      <c r="BG283" s="43"/>
      <c r="BH283" s="43"/>
      <c r="BI283" s="43"/>
      <c r="BJ283" s="43"/>
      <c r="BK283" s="43"/>
      <c r="BL283" s="43"/>
      <c r="BM283" s="43"/>
      <c r="BN283" s="43"/>
      <c r="BO283" s="43"/>
      <c r="BP283" s="43"/>
      <c r="BQ283" s="43"/>
      <c r="BR283" s="43"/>
      <c r="BS283" s="43"/>
      <c r="BT283" s="43"/>
      <c r="BU283" s="43"/>
      <c r="BV283" s="43"/>
      <c r="BW283" s="43"/>
    </row>
    <row r="284" spans="1:75" s="36" customFormat="1">
      <c r="A284" s="61"/>
      <c r="B284" s="5"/>
      <c r="C284" s="5"/>
      <c r="D284" s="39"/>
      <c r="E284" s="40"/>
      <c r="F284" s="39"/>
      <c r="G284" s="5"/>
      <c r="H284" s="5"/>
      <c r="I284" s="3"/>
      <c r="J284" s="3"/>
      <c r="K284" s="3"/>
      <c r="L284" s="3"/>
      <c r="M284" s="41"/>
      <c r="N284" s="5"/>
      <c r="O284" s="42"/>
      <c r="P284" s="62"/>
      <c r="Q284" s="62"/>
      <c r="R284" s="5"/>
      <c r="S284" s="5"/>
      <c r="T284" s="3"/>
      <c r="U284" s="3"/>
      <c r="V284" s="3"/>
      <c r="W284" s="3"/>
      <c r="X284" s="61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  <c r="AT284" s="43"/>
      <c r="AU284" s="43"/>
      <c r="AV284" s="43"/>
      <c r="AW284" s="43"/>
      <c r="AX284" s="43"/>
      <c r="AY284" s="43"/>
      <c r="AZ284" s="43"/>
      <c r="BA284" s="43"/>
      <c r="BB284" s="43"/>
      <c r="BC284" s="43"/>
      <c r="BD284" s="43"/>
      <c r="BE284" s="43"/>
      <c r="BF284" s="43"/>
      <c r="BG284" s="43"/>
      <c r="BH284" s="43"/>
      <c r="BI284" s="43"/>
      <c r="BJ284" s="43"/>
      <c r="BK284" s="43"/>
      <c r="BL284" s="43"/>
      <c r="BM284" s="43"/>
      <c r="BN284" s="43"/>
      <c r="BO284" s="43"/>
      <c r="BP284" s="43"/>
      <c r="BQ284" s="43"/>
      <c r="BR284" s="43"/>
      <c r="BS284" s="43"/>
      <c r="BT284" s="43"/>
      <c r="BU284" s="43"/>
      <c r="BV284" s="43"/>
      <c r="BW284" s="43"/>
    </row>
    <row r="285" spans="1:75" s="36" customFormat="1">
      <c r="A285" s="61"/>
      <c r="B285" s="5"/>
      <c r="C285" s="5"/>
      <c r="D285" s="39"/>
      <c r="E285" s="40"/>
      <c r="F285" s="39"/>
      <c r="G285" s="5"/>
      <c r="H285" s="5"/>
      <c r="I285" s="3"/>
      <c r="J285" s="3"/>
      <c r="K285" s="3"/>
      <c r="L285" s="3"/>
      <c r="M285" s="41"/>
      <c r="N285" s="5"/>
      <c r="O285" s="42"/>
      <c r="P285" s="62"/>
      <c r="Q285" s="62"/>
      <c r="R285" s="5"/>
      <c r="S285" s="5"/>
      <c r="T285" s="3"/>
      <c r="U285" s="3"/>
      <c r="V285" s="3"/>
      <c r="W285" s="3"/>
      <c r="X285" s="61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  <c r="AU285" s="43"/>
      <c r="AV285" s="43"/>
      <c r="AW285" s="43"/>
      <c r="AX285" s="43"/>
      <c r="AY285" s="43"/>
      <c r="AZ285" s="43"/>
      <c r="BA285" s="43"/>
      <c r="BB285" s="43"/>
      <c r="BC285" s="43"/>
      <c r="BD285" s="43"/>
      <c r="BE285" s="43"/>
      <c r="BF285" s="43"/>
      <c r="BG285" s="43"/>
      <c r="BH285" s="43"/>
      <c r="BI285" s="43"/>
      <c r="BJ285" s="43"/>
      <c r="BK285" s="43"/>
      <c r="BL285" s="43"/>
      <c r="BM285" s="43"/>
      <c r="BN285" s="43"/>
      <c r="BO285" s="43"/>
      <c r="BP285" s="43"/>
      <c r="BQ285" s="43"/>
      <c r="BR285" s="43"/>
      <c r="BS285" s="43"/>
      <c r="BT285" s="43"/>
      <c r="BU285" s="43"/>
      <c r="BV285" s="43"/>
      <c r="BW285" s="43"/>
    </row>
    <row r="286" spans="1:75" s="36" customFormat="1">
      <c r="A286" s="61"/>
      <c r="B286" s="5"/>
      <c r="C286" s="5"/>
      <c r="D286" s="39"/>
      <c r="E286" s="40"/>
      <c r="F286" s="39"/>
      <c r="G286" s="5"/>
      <c r="H286" s="5"/>
      <c r="I286" s="3"/>
      <c r="J286" s="3"/>
      <c r="K286" s="3"/>
      <c r="L286" s="3"/>
      <c r="M286" s="41"/>
      <c r="N286" s="5"/>
      <c r="O286" s="42"/>
      <c r="P286" s="62"/>
      <c r="Q286" s="62"/>
      <c r="R286" s="5"/>
      <c r="S286" s="5"/>
      <c r="T286" s="3"/>
      <c r="U286" s="3"/>
      <c r="V286" s="3"/>
      <c r="W286" s="3"/>
      <c r="X286" s="61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  <c r="AT286" s="43"/>
      <c r="AU286" s="43"/>
      <c r="AV286" s="43"/>
      <c r="AW286" s="43"/>
      <c r="AX286" s="43"/>
      <c r="AY286" s="43"/>
      <c r="AZ286" s="43"/>
      <c r="BA286" s="43"/>
      <c r="BB286" s="43"/>
      <c r="BC286" s="43"/>
      <c r="BD286" s="43"/>
      <c r="BE286" s="43"/>
      <c r="BF286" s="43"/>
      <c r="BG286" s="43"/>
      <c r="BH286" s="43"/>
      <c r="BI286" s="43"/>
      <c r="BJ286" s="43"/>
      <c r="BK286" s="43"/>
      <c r="BL286" s="43"/>
      <c r="BM286" s="43"/>
      <c r="BN286" s="43"/>
      <c r="BO286" s="43"/>
      <c r="BP286" s="43"/>
      <c r="BQ286" s="43"/>
      <c r="BR286" s="43"/>
      <c r="BS286" s="43"/>
      <c r="BT286" s="43"/>
      <c r="BU286" s="43"/>
      <c r="BV286" s="43"/>
      <c r="BW286" s="43"/>
    </row>
    <row r="287" spans="1:75" s="36" customFormat="1">
      <c r="A287" s="61"/>
      <c r="B287" s="5"/>
      <c r="C287" s="5"/>
      <c r="D287" s="39"/>
      <c r="E287" s="40"/>
      <c r="F287" s="39"/>
      <c r="G287" s="5"/>
      <c r="H287" s="5"/>
      <c r="I287" s="3"/>
      <c r="J287" s="3"/>
      <c r="K287" s="3"/>
      <c r="L287" s="3"/>
      <c r="M287" s="41"/>
      <c r="N287" s="5"/>
      <c r="O287" s="42"/>
      <c r="P287" s="62"/>
      <c r="Q287" s="62"/>
      <c r="R287" s="5"/>
      <c r="S287" s="5"/>
      <c r="T287" s="3"/>
      <c r="U287" s="3"/>
      <c r="V287" s="3"/>
      <c r="W287" s="3"/>
      <c r="X287" s="61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  <c r="AU287" s="43"/>
      <c r="AV287" s="43"/>
      <c r="AW287" s="43"/>
      <c r="AX287" s="43"/>
      <c r="AY287" s="43"/>
      <c r="AZ287" s="43"/>
      <c r="BA287" s="43"/>
      <c r="BB287" s="43"/>
      <c r="BC287" s="43"/>
      <c r="BD287" s="43"/>
      <c r="BE287" s="43"/>
      <c r="BF287" s="43"/>
      <c r="BG287" s="43"/>
      <c r="BH287" s="43"/>
      <c r="BI287" s="43"/>
      <c r="BJ287" s="43"/>
      <c r="BK287" s="43"/>
      <c r="BL287" s="43"/>
      <c r="BM287" s="43"/>
      <c r="BN287" s="43"/>
      <c r="BO287" s="43"/>
      <c r="BP287" s="43"/>
      <c r="BQ287" s="43"/>
      <c r="BR287" s="43"/>
      <c r="BS287" s="43"/>
      <c r="BT287" s="43"/>
      <c r="BU287" s="43"/>
      <c r="BV287" s="43"/>
      <c r="BW287" s="43"/>
    </row>
    <row r="288" spans="1:75" s="36" customFormat="1">
      <c r="A288" s="61"/>
      <c r="B288" s="5"/>
      <c r="C288" s="5"/>
      <c r="D288" s="39"/>
      <c r="E288" s="40"/>
      <c r="F288" s="39"/>
      <c r="G288" s="5"/>
      <c r="H288" s="5"/>
      <c r="I288" s="3"/>
      <c r="J288" s="3"/>
      <c r="K288" s="3"/>
      <c r="L288" s="3"/>
      <c r="M288" s="41"/>
      <c r="N288" s="5"/>
      <c r="O288" s="42"/>
      <c r="P288" s="62"/>
      <c r="Q288" s="62"/>
      <c r="R288" s="5"/>
      <c r="S288" s="5"/>
      <c r="T288" s="3"/>
      <c r="U288" s="3"/>
      <c r="V288" s="3"/>
      <c r="W288" s="3"/>
      <c r="X288" s="61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  <c r="AT288" s="43"/>
      <c r="AU288" s="43"/>
      <c r="AV288" s="43"/>
      <c r="AW288" s="43"/>
      <c r="AX288" s="43"/>
      <c r="AY288" s="43"/>
      <c r="AZ288" s="43"/>
      <c r="BA288" s="43"/>
      <c r="BB288" s="43"/>
      <c r="BC288" s="43"/>
      <c r="BD288" s="43"/>
      <c r="BE288" s="43"/>
      <c r="BF288" s="43"/>
      <c r="BG288" s="43"/>
      <c r="BH288" s="43"/>
      <c r="BI288" s="43"/>
      <c r="BJ288" s="43"/>
      <c r="BK288" s="43"/>
      <c r="BL288" s="43"/>
      <c r="BM288" s="43"/>
      <c r="BN288" s="43"/>
      <c r="BO288" s="43"/>
      <c r="BP288" s="43"/>
      <c r="BQ288" s="43"/>
      <c r="BR288" s="43"/>
      <c r="BS288" s="43"/>
      <c r="BT288" s="43"/>
      <c r="BU288" s="43"/>
      <c r="BV288" s="43"/>
      <c r="BW288" s="43"/>
    </row>
    <row r="289" spans="1:75" s="36" customFormat="1">
      <c r="A289" s="61"/>
      <c r="B289" s="5"/>
      <c r="C289" s="5"/>
      <c r="D289" s="39"/>
      <c r="E289" s="40"/>
      <c r="F289" s="39"/>
      <c r="G289" s="5"/>
      <c r="H289" s="5"/>
      <c r="I289" s="3"/>
      <c r="J289" s="3"/>
      <c r="K289" s="3"/>
      <c r="L289" s="3"/>
      <c r="M289" s="41"/>
      <c r="N289" s="5"/>
      <c r="O289" s="42"/>
      <c r="P289" s="62"/>
      <c r="Q289" s="62"/>
      <c r="R289" s="5"/>
      <c r="S289" s="5"/>
      <c r="T289" s="3"/>
      <c r="U289" s="3"/>
      <c r="V289" s="3"/>
      <c r="W289" s="3"/>
      <c r="X289" s="61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  <c r="AT289" s="43"/>
      <c r="AU289" s="43"/>
      <c r="AV289" s="43"/>
      <c r="AW289" s="43"/>
      <c r="AX289" s="43"/>
      <c r="AY289" s="43"/>
      <c r="AZ289" s="43"/>
      <c r="BA289" s="43"/>
      <c r="BB289" s="43"/>
      <c r="BC289" s="43"/>
      <c r="BD289" s="43"/>
      <c r="BE289" s="43"/>
      <c r="BF289" s="43"/>
      <c r="BG289" s="43"/>
      <c r="BH289" s="43"/>
      <c r="BI289" s="43"/>
      <c r="BJ289" s="43"/>
      <c r="BK289" s="43"/>
      <c r="BL289" s="43"/>
      <c r="BM289" s="43"/>
      <c r="BN289" s="43"/>
      <c r="BO289" s="43"/>
      <c r="BP289" s="43"/>
      <c r="BQ289" s="43"/>
      <c r="BR289" s="43"/>
      <c r="BS289" s="43"/>
      <c r="BT289" s="43"/>
      <c r="BU289" s="43"/>
      <c r="BV289" s="43"/>
      <c r="BW289" s="43"/>
    </row>
    <row r="290" spans="1:75" s="36" customFormat="1">
      <c r="A290" s="61"/>
      <c r="B290" s="5"/>
      <c r="C290" s="5"/>
      <c r="D290" s="39"/>
      <c r="E290" s="40"/>
      <c r="F290" s="39"/>
      <c r="G290" s="5"/>
      <c r="H290" s="5"/>
      <c r="I290" s="3"/>
      <c r="J290" s="3"/>
      <c r="K290" s="3"/>
      <c r="L290" s="3"/>
      <c r="M290" s="41"/>
      <c r="N290" s="5"/>
      <c r="O290" s="42"/>
      <c r="P290" s="62"/>
      <c r="Q290" s="62"/>
      <c r="R290" s="5"/>
      <c r="S290" s="5"/>
      <c r="T290" s="3"/>
      <c r="U290" s="3"/>
      <c r="V290" s="3"/>
      <c r="W290" s="3"/>
      <c r="X290" s="61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  <c r="AT290" s="43"/>
      <c r="AU290" s="43"/>
      <c r="AV290" s="43"/>
      <c r="AW290" s="43"/>
      <c r="AX290" s="43"/>
      <c r="AY290" s="43"/>
      <c r="AZ290" s="43"/>
      <c r="BA290" s="43"/>
      <c r="BB290" s="43"/>
      <c r="BC290" s="43"/>
      <c r="BD290" s="43"/>
      <c r="BE290" s="43"/>
      <c r="BF290" s="43"/>
      <c r="BG290" s="43"/>
      <c r="BH290" s="43"/>
      <c r="BI290" s="43"/>
      <c r="BJ290" s="43"/>
      <c r="BK290" s="43"/>
      <c r="BL290" s="43"/>
      <c r="BM290" s="43"/>
      <c r="BN290" s="43"/>
      <c r="BO290" s="43"/>
      <c r="BP290" s="43"/>
      <c r="BQ290" s="43"/>
      <c r="BR290" s="43"/>
      <c r="BS290" s="43"/>
      <c r="BT290" s="43"/>
      <c r="BU290" s="43"/>
      <c r="BV290" s="43"/>
      <c r="BW290" s="43"/>
    </row>
    <row r="291" spans="1:75" s="36" customFormat="1">
      <c r="A291" s="61"/>
      <c r="B291" s="5"/>
      <c r="C291" s="5"/>
      <c r="D291" s="39"/>
      <c r="E291" s="40"/>
      <c r="F291" s="39"/>
      <c r="G291" s="5"/>
      <c r="H291" s="5"/>
      <c r="I291" s="3"/>
      <c r="J291" s="3"/>
      <c r="K291" s="3"/>
      <c r="L291" s="3"/>
      <c r="M291" s="41"/>
      <c r="N291" s="5"/>
      <c r="O291" s="42"/>
      <c r="P291" s="62"/>
      <c r="Q291" s="62"/>
      <c r="R291" s="5"/>
      <c r="S291" s="5"/>
      <c r="T291" s="3"/>
      <c r="U291" s="3"/>
      <c r="V291" s="3"/>
      <c r="W291" s="3"/>
      <c r="X291" s="61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  <c r="AT291" s="43"/>
      <c r="AU291" s="43"/>
      <c r="AV291" s="43"/>
      <c r="AW291" s="43"/>
      <c r="AX291" s="43"/>
      <c r="AY291" s="43"/>
      <c r="AZ291" s="43"/>
      <c r="BA291" s="43"/>
      <c r="BB291" s="43"/>
      <c r="BC291" s="43"/>
      <c r="BD291" s="43"/>
      <c r="BE291" s="43"/>
      <c r="BF291" s="43"/>
      <c r="BG291" s="43"/>
      <c r="BH291" s="43"/>
      <c r="BI291" s="43"/>
      <c r="BJ291" s="43"/>
      <c r="BK291" s="43"/>
      <c r="BL291" s="43"/>
      <c r="BM291" s="43"/>
      <c r="BN291" s="43"/>
      <c r="BO291" s="43"/>
      <c r="BP291" s="43"/>
      <c r="BQ291" s="43"/>
      <c r="BR291" s="43"/>
      <c r="BS291" s="43"/>
      <c r="BT291" s="43"/>
      <c r="BU291" s="43"/>
      <c r="BV291" s="43"/>
      <c r="BW291" s="43"/>
    </row>
    <row r="292" spans="1:75" s="36" customFormat="1">
      <c r="A292" s="61"/>
      <c r="B292" s="5"/>
      <c r="C292" s="5"/>
      <c r="D292" s="39"/>
      <c r="E292" s="40"/>
      <c r="F292" s="39"/>
      <c r="G292" s="5"/>
      <c r="H292" s="5"/>
      <c r="I292" s="3"/>
      <c r="J292" s="3"/>
      <c r="K292" s="3"/>
      <c r="L292" s="3"/>
      <c r="M292" s="41"/>
      <c r="N292" s="5"/>
      <c r="O292" s="42"/>
      <c r="P292" s="62"/>
      <c r="Q292" s="62"/>
      <c r="R292" s="5"/>
      <c r="S292" s="5"/>
      <c r="T292" s="3"/>
      <c r="U292" s="3"/>
      <c r="V292" s="3"/>
      <c r="W292" s="3"/>
      <c r="X292" s="61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  <c r="AT292" s="43"/>
      <c r="AU292" s="43"/>
      <c r="AV292" s="43"/>
      <c r="AW292" s="43"/>
      <c r="AX292" s="43"/>
      <c r="AY292" s="43"/>
      <c r="AZ292" s="43"/>
      <c r="BA292" s="43"/>
      <c r="BB292" s="43"/>
      <c r="BC292" s="43"/>
      <c r="BD292" s="43"/>
      <c r="BE292" s="43"/>
      <c r="BF292" s="43"/>
      <c r="BG292" s="43"/>
      <c r="BH292" s="43"/>
      <c r="BI292" s="43"/>
      <c r="BJ292" s="43"/>
      <c r="BK292" s="43"/>
      <c r="BL292" s="43"/>
      <c r="BM292" s="43"/>
      <c r="BN292" s="43"/>
      <c r="BO292" s="43"/>
      <c r="BP292" s="43"/>
      <c r="BQ292" s="43"/>
      <c r="BR292" s="43"/>
      <c r="BS292" s="43"/>
      <c r="BT292" s="43"/>
      <c r="BU292" s="43"/>
      <c r="BV292" s="43"/>
      <c r="BW292" s="43"/>
    </row>
    <row r="293" spans="1:75" s="36" customFormat="1">
      <c r="A293" s="61"/>
      <c r="B293" s="5"/>
      <c r="C293" s="5"/>
      <c r="D293" s="39"/>
      <c r="E293" s="40"/>
      <c r="F293" s="39"/>
      <c r="G293" s="5"/>
      <c r="H293" s="5"/>
      <c r="I293" s="3"/>
      <c r="J293" s="3"/>
      <c r="K293" s="3"/>
      <c r="L293" s="3"/>
      <c r="M293" s="41"/>
      <c r="N293" s="5"/>
      <c r="O293" s="42"/>
      <c r="P293" s="62"/>
      <c r="Q293" s="62"/>
      <c r="R293" s="5"/>
      <c r="S293" s="5"/>
      <c r="T293" s="3"/>
      <c r="U293" s="3"/>
      <c r="V293" s="3"/>
      <c r="W293" s="3"/>
      <c r="X293" s="61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  <c r="AU293" s="43"/>
      <c r="AV293" s="43"/>
      <c r="AW293" s="43"/>
      <c r="AX293" s="43"/>
      <c r="AY293" s="43"/>
      <c r="AZ293" s="43"/>
      <c r="BA293" s="43"/>
      <c r="BB293" s="43"/>
      <c r="BC293" s="43"/>
      <c r="BD293" s="43"/>
      <c r="BE293" s="43"/>
      <c r="BF293" s="43"/>
      <c r="BG293" s="43"/>
      <c r="BH293" s="43"/>
      <c r="BI293" s="43"/>
      <c r="BJ293" s="43"/>
      <c r="BK293" s="43"/>
      <c r="BL293" s="43"/>
      <c r="BM293" s="43"/>
      <c r="BN293" s="43"/>
      <c r="BO293" s="43"/>
      <c r="BP293" s="43"/>
      <c r="BQ293" s="43"/>
      <c r="BR293" s="43"/>
      <c r="BS293" s="43"/>
      <c r="BT293" s="43"/>
      <c r="BU293" s="43"/>
      <c r="BV293" s="43"/>
      <c r="BW293" s="43"/>
    </row>
    <row r="294" spans="1:75" s="36" customFormat="1">
      <c r="A294" s="61"/>
      <c r="B294" s="5"/>
      <c r="C294" s="5"/>
      <c r="D294" s="39"/>
      <c r="E294" s="40"/>
      <c r="F294" s="39"/>
      <c r="G294" s="5"/>
      <c r="H294" s="5"/>
      <c r="I294" s="3"/>
      <c r="J294" s="3"/>
      <c r="K294" s="3"/>
      <c r="L294" s="3"/>
      <c r="M294" s="41"/>
      <c r="N294" s="5"/>
      <c r="O294" s="42"/>
      <c r="P294" s="62"/>
      <c r="Q294" s="62"/>
      <c r="R294" s="5"/>
      <c r="S294" s="5"/>
      <c r="T294" s="3"/>
      <c r="U294" s="3"/>
      <c r="V294" s="3"/>
      <c r="W294" s="3"/>
      <c r="X294" s="61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  <c r="AU294" s="43"/>
      <c r="AV294" s="43"/>
      <c r="AW294" s="43"/>
      <c r="AX294" s="43"/>
      <c r="AY294" s="43"/>
      <c r="AZ294" s="43"/>
      <c r="BA294" s="43"/>
      <c r="BB294" s="43"/>
      <c r="BC294" s="43"/>
      <c r="BD294" s="43"/>
      <c r="BE294" s="43"/>
      <c r="BF294" s="43"/>
      <c r="BG294" s="43"/>
      <c r="BH294" s="43"/>
      <c r="BI294" s="43"/>
      <c r="BJ294" s="43"/>
      <c r="BK294" s="43"/>
      <c r="BL294" s="43"/>
      <c r="BM294" s="43"/>
      <c r="BN294" s="43"/>
      <c r="BO294" s="43"/>
      <c r="BP294" s="43"/>
      <c r="BQ294" s="43"/>
      <c r="BR294" s="43"/>
      <c r="BS294" s="43"/>
      <c r="BT294" s="43"/>
      <c r="BU294" s="43"/>
      <c r="BV294" s="43"/>
      <c r="BW294" s="43"/>
    </row>
    <row r="295" spans="1:75" s="36" customFormat="1">
      <c r="A295" s="61"/>
      <c r="B295" s="5"/>
      <c r="C295" s="5"/>
      <c r="D295" s="39"/>
      <c r="E295" s="40"/>
      <c r="F295" s="39"/>
      <c r="G295" s="5"/>
      <c r="H295" s="5"/>
      <c r="I295" s="3"/>
      <c r="J295" s="3"/>
      <c r="K295" s="3"/>
      <c r="L295" s="3"/>
      <c r="M295" s="41"/>
      <c r="N295" s="5"/>
      <c r="O295" s="42"/>
      <c r="P295" s="62"/>
      <c r="Q295" s="62"/>
      <c r="R295" s="5"/>
      <c r="S295" s="5"/>
      <c r="T295" s="3"/>
      <c r="U295" s="3"/>
      <c r="V295" s="3"/>
      <c r="W295" s="3"/>
      <c r="X295" s="61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  <c r="AT295" s="43"/>
      <c r="AU295" s="43"/>
      <c r="AV295" s="43"/>
      <c r="AW295" s="43"/>
      <c r="AX295" s="43"/>
      <c r="AY295" s="43"/>
      <c r="AZ295" s="43"/>
      <c r="BA295" s="43"/>
      <c r="BB295" s="43"/>
      <c r="BC295" s="43"/>
      <c r="BD295" s="43"/>
      <c r="BE295" s="43"/>
      <c r="BF295" s="43"/>
      <c r="BG295" s="43"/>
      <c r="BH295" s="43"/>
      <c r="BI295" s="43"/>
      <c r="BJ295" s="43"/>
      <c r="BK295" s="43"/>
      <c r="BL295" s="43"/>
      <c r="BM295" s="43"/>
      <c r="BN295" s="43"/>
      <c r="BO295" s="43"/>
      <c r="BP295" s="43"/>
      <c r="BQ295" s="43"/>
      <c r="BR295" s="43"/>
      <c r="BS295" s="43"/>
      <c r="BT295" s="43"/>
      <c r="BU295" s="43"/>
      <c r="BV295" s="43"/>
      <c r="BW295" s="43"/>
    </row>
    <row r="296" spans="1:75" s="36" customFormat="1">
      <c r="A296" s="61"/>
      <c r="B296" s="5"/>
      <c r="C296" s="5"/>
      <c r="D296" s="39"/>
      <c r="E296" s="40"/>
      <c r="F296" s="39"/>
      <c r="G296" s="5"/>
      <c r="H296" s="5"/>
      <c r="I296" s="3"/>
      <c r="J296" s="3"/>
      <c r="K296" s="3"/>
      <c r="L296" s="3"/>
      <c r="M296" s="41"/>
      <c r="N296" s="5"/>
      <c r="O296" s="42"/>
      <c r="P296" s="62"/>
      <c r="Q296" s="62"/>
      <c r="R296" s="5"/>
      <c r="S296" s="5"/>
      <c r="T296" s="3"/>
      <c r="U296" s="3"/>
      <c r="V296" s="3"/>
      <c r="W296" s="3"/>
      <c r="X296" s="61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  <c r="AT296" s="43"/>
      <c r="AU296" s="43"/>
      <c r="AV296" s="43"/>
      <c r="AW296" s="43"/>
      <c r="AX296" s="43"/>
      <c r="AY296" s="43"/>
      <c r="AZ296" s="43"/>
      <c r="BA296" s="43"/>
      <c r="BB296" s="43"/>
      <c r="BC296" s="43"/>
      <c r="BD296" s="43"/>
      <c r="BE296" s="43"/>
      <c r="BF296" s="43"/>
      <c r="BG296" s="43"/>
      <c r="BH296" s="43"/>
      <c r="BI296" s="43"/>
      <c r="BJ296" s="43"/>
      <c r="BK296" s="43"/>
      <c r="BL296" s="43"/>
      <c r="BM296" s="43"/>
      <c r="BN296" s="43"/>
      <c r="BO296" s="43"/>
      <c r="BP296" s="43"/>
      <c r="BQ296" s="43"/>
      <c r="BR296" s="43"/>
      <c r="BS296" s="43"/>
      <c r="BT296" s="43"/>
      <c r="BU296" s="43"/>
      <c r="BV296" s="43"/>
      <c r="BW296" s="43"/>
    </row>
    <row r="297" spans="1:75" s="36" customFormat="1">
      <c r="A297" s="61"/>
      <c r="B297" s="5"/>
      <c r="C297" s="5"/>
      <c r="D297" s="39"/>
      <c r="E297" s="40"/>
      <c r="F297" s="39"/>
      <c r="G297" s="5"/>
      <c r="H297" s="5"/>
      <c r="I297" s="3"/>
      <c r="J297" s="3"/>
      <c r="K297" s="3"/>
      <c r="L297" s="3"/>
      <c r="M297" s="41"/>
      <c r="N297" s="5"/>
      <c r="O297" s="42"/>
      <c r="P297" s="62"/>
      <c r="Q297" s="62"/>
      <c r="R297" s="5"/>
      <c r="S297" s="5"/>
      <c r="T297" s="3"/>
      <c r="U297" s="3"/>
      <c r="V297" s="3"/>
      <c r="W297" s="3"/>
      <c r="X297" s="61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  <c r="AU297" s="43"/>
      <c r="AV297" s="43"/>
      <c r="AW297" s="43"/>
      <c r="AX297" s="43"/>
      <c r="AY297" s="43"/>
      <c r="AZ297" s="43"/>
      <c r="BA297" s="43"/>
      <c r="BB297" s="43"/>
      <c r="BC297" s="43"/>
      <c r="BD297" s="43"/>
      <c r="BE297" s="43"/>
      <c r="BF297" s="43"/>
      <c r="BG297" s="43"/>
      <c r="BH297" s="43"/>
      <c r="BI297" s="43"/>
      <c r="BJ297" s="43"/>
      <c r="BK297" s="43"/>
      <c r="BL297" s="43"/>
      <c r="BM297" s="43"/>
      <c r="BN297" s="43"/>
      <c r="BO297" s="43"/>
      <c r="BP297" s="43"/>
      <c r="BQ297" s="43"/>
      <c r="BR297" s="43"/>
      <c r="BS297" s="43"/>
      <c r="BT297" s="43"/>
      <c r="BU297" s="43"/>
      <c r="BV297" s="43"/>
      <c r="BW297" s="43"/>
    </row>
    <row r="298" spans="1:75" s="36" customFormat="1">
      <c r="A298" s="61"/>
      <c r="B298" s="5"/>
      <c r="C298" s="5"/>
      <c r="D298" s="39"/>
      <c r="E298" s="40"/>
      <c r="F298" s="39"/>
      <c r="G298" s="5"/>
      <c r="H298" s="5"/>
      <c r="I298" s="3"/>
      <c r="J298" s="3"/>
      <c r="K298" s="3"/>
      <c r="L298" s="3"/>
      <c r="M298" s="41"/>
      <c r="N298" s="5"/>
      <c r="O298" s="42"/>
      <c r="P298" s="62"/>
      <c r="Q298" s="62"/>
      <c r="R298" s="5"/>
      <c r="S298" s="5"/>
      <c r="T298" s="3"/>
      <c r="U298" s="3"/>
      <c r="V298" s="3"/>
      <c r="W298" s="3"/>
      <c r="X298" s="61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  <c r="AT298" s="43"/>
      <c r="AU298" s="43"/>
      <c r="AV298" s="43"/>
      <c r="AW298" s="43"/>
      <c r="AX298" s="43"/>
      <c r="AY298" s="43"/>
      <c r="AZ298" s="43"/>
      <c r="BA298" s="43"/>
      <c r="BB298" s="43"/>
      <c r="BC298" s="43"/>
      <c r="BD298" s="43"/>
      <c r="BE298" s="43"/>
      <c r="BF298" s="43"/>
      <c r="BG298" s="43"/>
      <c r="BH298" s="43"/>
      <c r="BI298" s="43"/>
      <c r="BJ298" s="43"/>
      <c r="BK298" s="43"/>
      <c r="BL298" s="43"/>
      <c r="BM298" s="43"/>
      <c r="BN298" s="43"/>
      <c r="BO298" s="43"/>
      <c r="BP298" s="43"/>
      <c r="BQ298" s="43"/>
      <c r="BR298" s="43"/>
      <c r="BS298" s="43"/>
      <c r="BT298" s="43"/>
      <c r="BU298" s="43"/>
      <c r="BV298" s="43"/>
      <c r="BW298" s="43"/>
    </row>
    <row r="299" spans="1:75" s="36" customFormat="1">
      <c r="A299" s="61"/>
      <c r="B299" s="5"/>
      <c r="C299" s="5"/>
      <c r="D299" s="39"/>
      <c r="E299" s="40"/>
      <c r="F299" s="39"/>
      <c r="G299" s="5"/>
      <c r="H299" s="5"/>
      <c r="I299" s="3"/>
      <c r="J299" s="3"/>
      <c r="K299" s="3"/>
      <c r="L299" s="3"/>
      <c r="M299" s="41"/>
      <c r="N299" s="5"/>
      <c r="O299" s="42"/>
      <c r="P299" s="62"/>
      <c r="Q299" s="62"/>
      <c r="R299" s="5"/>
      <c r="S299" s="5"/>
      <c r="T299" s="3"/>
      <c r="U299" s="3"/>
      <c r="V299" s="3"/>
      <c r="W299" s="3"/>
      <c r="X299" s="61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  <c r="AT299" s="43"/>
      <c r="AU299" s="43"/>
      <c r="AV299" s="43"/>
      <c r="AW299" s="43"/>
      <c r="AX299" s="43"/>
      <c r="AY299" s="43"/>
      <c r="AZ299" s="43"/>
      <c r="BA299" s="43"/>
      <c r="BB299" s="43"/>
      <c r="BC299" s="43"/>
      <c r="BD299" s="43"/>
      <c r="BE299" s="43"/>
      <c r="BF299" s="43"/>
      <c r="BG299" s="43"/>
      <c r="BH299" s="43"/>
      <c r="BI299" s="43"/>
      <c r="BJ299" s="43"/>
      <c r="BK299" s="43"/>
      <c r="BL299" s="43"/>
      <c r="BM299" s="43"/>
      <c r="BN299" s="43"/>
      <c r="BO299" s="43"/>
      <c r="BP299" s="43"/>
      <c r="BQ299" s="43"/>
      <c r="BR299" s="43"/>
      <c r="BS299" s="43"/>
      <c r="BT299" s="43"/>
      <c r="BU299" s="43"/>
      <c r="BV299" s="43"/>
      <c r="BW299" s="43"/>
    </row>
    <row r="300" spans="1:75" s="36" customFormat="1">
      <c r="A300" s="61"/>
      <c r="B300" s="5"/>
      <c r="C300" s="5"/>
      <c r="D300" s="39"/>
      <c r="E300" s="40"/>
      <c r="F300" s="39"/>
      <c r="G300" s="5"/>
      <c r="H300" s="5"/>
      <c r="I300" s="3"/>
      <c r="J300" s="3"/>
      <c r="K300" s="3"/>
      <c r="L300" s="3"/>
      <c r="M300" s="41"/>
      <c r="N300" s="5"/>
      <c r="O300" s="42"/>
      <c r="P300" s="62"/>
      <c r="Q300" s="62"/>
      <c r="R300" s="5"/>
      <c r="S300" s="5"/>
      <c r="T300" s="3"/>
      <c r="U300" s="3"/>
      <c r="V300" s="3"/>
      <c r="W300" s="3"/>
      <c r="X300" s="61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  <c r="AT300" s="43"/>
      <c r="AU300" s="43"/>
      <c r="AV300" s="43"/>
      <c r="AW300" s="43"/>
      <c r="AX300" s="43"/>
      <c r="AY300" s="43"/>
      <c r="AZ300" s="43"/>
      <c r="BA300" s="43"/>
      <c r="BB300" s="43"/>
      <c r="BC300" s="43"/>
      <c r="BD300" s="43"/>
      <c r="BE300" s="43"/>
      <c r="BF300" s="43"/>
      <c r="BG300" s="43"/>
      <c r="BH300" s="43"/>
      <c r="BI300" s="43"/>
      <c r="BJ300" s="43"/>
      <c r="BK300" s="43"/>
      <c r="BL300" s="43"/>
      <c r="BM300" s="43"/>
      <c r="BN300" s="43"/>
      <c r="BO300" s="43"/>
      <c r="BP300" s="43"/>
      <c r="BQ300" s="43"/>
      <c r="BR300" s="43"/>
      <c r="BS300" s="43"/>
      <c r="BT300" s="43"/>
      <c r="BU300" s="43"/>
      <c r="BV300" s="43"/>
      <c r="BW300" s="43"/>
    </row>
    <row r="301" spans="1:75" s="36" customFormat="1">
      <c r="A301" s="61"/>
      <c r="B301" s="5"/>
      <c r="C301" s="5"/>
      <c r="D301" s="39"/>
      <c r="E301" s="40"/>
      <c r="F301" s="39"/>
      <c r="G301" s="5"/>
      <c r="H301" s="5"/>
      <c r="I301" s="3"/>
      <c r="J301" s="3"/>
      <c r="K301" s="3"/>
      <c r="L301" s="3"/>
      <c r="M301" s="41"/>
      <c r="N301" s="5"/>
      <c r="O301" s="42"/>
      <c r="P301" s="62"/>
      <c r="Q301" s="62"/>
      <c r="R301" s="5"/>
      <c r="S301" s="5"/>
      <c r="T301" s="3"/>
      <c r="U301" s="3"/>
      <c r="V301" s="3"/>
      <c r="W301" s="3"/>
      <c r="X301" s="61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  <c r="AT301" s="43"/>
      <c r="AU301" s="43"/>
      <c r="AV301" s="43"/>
      <c r="AW301" s="43"/>
      <c r="AX301" s="43"/>
      <c r="AY301" s="43"/>
      <c r="AZ301" s="43"/>
      <c r="BA301" s="43"/>
      <c r="BB301" s="43"/>
      <c r="BC301" s="43"/>
      <c r="BD301" s="43"/>
      <c r="BE301" s="43"/>
      <c r="BF301" s="43"/>
      <c r="BG301" s="43"/>
      <c r="BH301" s="43"/>
      <c r="BI301" s="43"/>
      <c r="BJ301" s="43"/>
      <c r="BK301" s="43"/>
      <c r="BL301" s="43"/>
      <c r="BM301" s="43"/>
      <c r="BN301" s="43"/>
      <c r="BO301" s="43"/>
      <c r="BP301" s="43"/>
      <c r="BQ301" s="43"/>
      <c r="BR301" s="43"/>
      <c r="BS301" s="43"/>
      <c r="BT301" s="43"/>
      <c r="BU301" s="43"/>
      <c r="BV301" s="43"/>
      <c r="BW301" s="43"/>
    </row>
    <row r="302" spans="1:75" s="36" customFormat="1">
      <c r="A302" s="61"/>
      <c r="B302" s="5"/>
      <c r="C302" s="5"/>
      <c r="D302" s="39"/>
      <c r="E302" s="40"/>
      <c r="F302" s="39"/>
      <c r="G302" s="5"/>
      <c r="H302" s="5"/>
      <c r="I302" s="3"/>
      <c r="J302" s="3"/>
      <c r="K302" s="3"/>
      <c r="L302" s="3"/>
      <c r="M302" s="41"/>
      <c r="N302" s="5"/>
      <c r="O302" s="42"/>
      <c r="P302" s="62"/>
      <c r="Q302" s="62"/>
      <c r="R302" s="5"/>
      <c r="S302" s="5"/>
      <c r="T302" s="3"/>
      <c r="U302" s="3"/>
      <c r="V302" s="3"/>
      <c r="W302" s="3"/>
      <c r="X302" s="61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  <c r="AT302" s="43"/>
      <c r="AU302" s="43"/>
      <c r="AV302" s="43"/>
      <c r="AW302" s="43"/>
      <c r="AX302" s="43"/>
      <c r="AY302" s="43"/>
      <c r="AZ302" s="43"/>
      <c r="BA302" s="43"/>
      <c r="BB302" s="43"/>
      <c r="BC302" s="43"/>
      <c r="BD302" s="43"/>
      <c r="BE302" s="43"/>
      <c r="BF302" s="43"/>
      <c r="BG302" s="43"/>
      <c r="BH302" s="43"/>
      <c r="BI302" s="43"/>
      <c r="BJ302" s="43"/>
      <c r="BK302" s="43"/>
      <c r="BL302" s="43"/>
      <c r="BM302" s="43"/>
      <c r="BN302" s="43"/>
      <c r="BO302" s="43"/>
      <c r="BP302" s="43"/>
      <c r="BQ302" s="43"/>
      <c r="BR302" s="43"/>
      <c r="BS302" s="43"/>
      <c r="BT302" s="43"/>
      <c r="BU302" s="43"/>
      <c r="BV302" s="43"/>
      <c r="BW302" s="43"/>
    </row>
    <row r="303" spans="1:75" s="36" customFormat="1">
      <c r="A303" s="61"/>
      <c r="B303" s="5"/>
      <c r="C303" s="5"/>
      <c r="D303" s="39"/>
      <c r="E303" s="40"/>
      <c r="F303" s="39"/>
      <c r="G303" s="5"/>
      <c r="H303" s="5"/>
      <c r="I303" s="3"/>
      <c r="J303" s="3"/>
      <c r="K303" s="3"/>
      <c r="L303" s="3"/>
      <c r="M303" s="41"/>
      <c r="N303" s="5"/>
      <c r="O303" s="42"/>
      <c r="P303" s="62"/>
      <c r="Q303" s="62"/>
      <c r="R303" s="5"/>
      <c r="S303" s="5"/>
      <c r="T303" s="3"/>
      <c r="U303" s="3"/>
      <c r="V303" s="3"/>
      <c r="W303" s="3"/>
      <c r="X303" s="61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  <c r="BB303" s="43"/>
      <c r="BC303" s="43"/>
      <c r="BD303" s="43"/>
      <c r="BE303" s="43"/>
      <c r="BF303" s="43"/>
      <c r="BG303" s="43"/>
      <c r="BH303" s="43"/>
      <c r="BI303" s="43"/>
      <c r="BJ303" s="43"/>
      <c r="BK303" s="43"/>
      <c r="BL303" s="43"/>
      <c r="BM303" s="43"/>
      <c r="BN303" s="43"/>
      <c r="BO303" s="43"/>
      <c r="BP303" s="43"/>
      <c r="BQ303" s="43"/>
      <c r="BR303" s="43"/>
      <c r="BS303" s="43"/>
      <c r="BT303" s="43"/>
      <c r="BU303" s="43"/>
      <c r="BV303" s="43"/>
      <c r="BW303" s="43"/>
    </row>
    <row r="304" spans="1:75" s="36" customFormat="1">
      <c r="A304" s="61"/>
      <c r="B304" s="5"/>
      <c r="C304" s="5"/>
      <c r="D304" s="39"/>
      <c r="E304" s="40"/>
      <c r="F304" s="39"/>
      <c r="G304" s="5"/>
      <c r="H304" s="5"/>
      <c r="I304" s="3"/>
      <c r="J304" s="3"/>
      <c r="K304" s="3"/>
      <c r="L304" s="3"/>
      <c r="M304" s="41"/>
      <c r="N304" s="5"/>
      <c r="O304" s="42"/>
      <c r="P304" s="62"/>
      <c r="Q304" s="62"/>
      <c r="R304" s="5"/>
      <c r="S304" s="5"/>
      <c r="T304" s="3"/>
      <c r="U304" s="3"/>
      <c r="V304" s="3"/>
      <c r="W304" s="3"/>
      <c r="X304" s="61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  <c r="BB304" s="43"/>
      <c r="BC304" s="43"/>
      <c r="BD304" s="43"/>
      <c r="BE304" s="43"/>
      <c r="BF304" s="43"/>
      <c r="BG304" s="43"/>
      <c r="BH304" s="43"/>
      <c r="BI304" s="43"/>
      <c r="BJ304" s="43"/>
      <c r="BK304" s="43"/>
      <c r="BL304" s="43"/>
      <c r="BM304" s="43"/>
      <c r="BN304" s="43"/>
      <c r="BO304" s="43"/>
      <c r="BP304" s="43"/>
      <c r="BQ304" s="43"/>
      <c r="BR304" s="43"/>
      <c r="BS304" s="43"/>
      <c r="BT304" s="43"/>
      <c r="BU304" s="43"/>
      <c r="BV304" s="43"/>
      <c r="BW304" s="43"/>
    </row>
    <row r="305" spans="1:75" s="36" customFormat="1">
      <c r="A305" s="61"/>
      <c r="B305" s="5"/>
      <c r="C305" s="5"/>
      <c r="D305" s="39"/>
      <c r="E305" s="40"/>
      <c r="F305" s="39"/>
      <c r="G305" s="5"/>
      <c r="H305" s="5"/>
      <c r="I305" s="3"/>
      <c r="J305" s="3"/>
      <c r="K305" s="3"/>
      <c r="L305" s="3"/>
      <c r="M305" s="41"/>
      <c r="N305" s="5"/>
      <c r="O305" s="42"/>
      <c r="P305" s="62"/>
      <c r="Q305" s="62"/>
      <c r="R305" s="5"/>
      <c r="S305" s="5"/>
      <c r="T305" s="3"/>
      <c r="U305" s="3"/>
      <c r="V305" s="3"/>
      <c r="W305" s="3"/>
      <c r="X305" s="61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  <c r="BB305" s="43"/>
      <c r="BC305" s="43"/>
      <c r="BD305" s="43"/>
      <c r="BE305" s="43"/>
      <c r="BF305" s="43"/>
      <c r="BG305" s="43"/>
      <c r="BH305" s="43"/>
      <c r="BI305" s="43"/>
      <c r="BJ305" s="43"/>
      <c r="BK305" s="43"/>
      <c r="BL305" s="43"/>
      <c r="BM305" s="43"/>
      <c r="BN305" s="43"/>
      <c r="BO305" s="43"/>
      <c r="BP305" s="43"/>
      <c r="BQ305" s="43"/>
      <c r="BR305" s="43"/>
      <c r="BS305" s="43"/>
      <c r="BT305" s="43"/>
      <c r="BU305" s="43"/>
      <c r="BV305" s="43"/>
      <c r="BW305" s="43"/>
    </row>
    <row r="306" spans="1:75" s="36" customFormat="1">
      <c r="A306" s="61"/>
      <c r="B306" s="5"/>
      <c r="C306" s="5"/>
      <c r="D306" s="39"/>
      <c r="E306" s="40"/>
      <c r="F306" s="39"/>
      <c r="G306" s="5"/>
      <c r="H306" s="5"/>
      <c r="I306" s="3"/>
      <c r="J306" s="3"/>
      <c r="K306" s="3"/>
      <c r="L306" s="3"/>
      <c r="M306" s="41"/>
      <c r="N306" s="5"/>
      <c r="O306" s="42"/>
      <c r="P306" s="62"/>
      <c r="Q306" s="62"/>
      <c r="R306" s="5"/>
      <c r="S306" s="5"/>
      <c r="T306" s="3"/>
      <c r="U306" s="3"/>
      <c r="V306" s="3"/>
      <c r="W306" s="3"/>
      <c r="X306" s="61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  <c r="AT306" s="43"/>
      <c r="AU306" s="43"/>
      <c r="AV306" s="43"/>
      <c r="AW306" s="43"/>
      <c r="AX306" s="43"/>
      <c r="AY306" s="43"/>
      <c r="AZ306" s="43"/>
      <c r="BA306" s="43"/>
      <c r="BB306" s="43"/>
      <c r="BC306" s="43"/>
      <c r="BD306" s="43"/>
      <c r="BE306" s="43"/>
      <c r="BF306" s="43"/>
      <c r="BG306" s="43"/>
      <c r="BH306" s="43"/>
      <c r="BI306" s="43"/>
      <c r="BJ306" s="43"/>
      <c r="BK306" s="43"/>
      <c r="BL306" s="43"/>
      <c r="BM306" s="43"/>
      <c r="BN306" s="43"/>
      <c r="BO306" s="43"/>
      <c r="BP306" s="43"/>
      <c r="BQ306" s="43"/>
      <c r="BR306" s="43"/>
      <c r="BS306" s="43"/>
      <c r="BT306" s="43"/>
      <c r="BU306" s="43"/>
      <c r="BV306" s="43"/>
      <c r="BW306" s="43"/>
    </row>
    <row r="307" spans="1:75" s="36" customFormat="1">
      <c r="A307" s="61"/>
      <c r="B307" s="5"/>
      <c r="C307" s="5"/>
      <c r="D307" s="39"/>
      <c r="E307" s="40"/>
      <c r="F307" s="39"/>
      <c r="G307" s="5"/>
      <c r="H307" s="5"/>
      <c r="I307" s="3"/>
      <c r="J307" s="3"/>
      <c r="K307" s="3"/>
      <c r="L307" s="3"/>
      <c r="M307" s="41"/>
      <c r="N307" s="5"/>
      <c r="O307" s="42"/>
      <c r="P307" s="62"/>
      <c r="Q307" s="62"/>
      <c r="R307" s="5"/>
      <c r="S307" s="5"/>
      <c r="T307" s="3"/>
      <c r="U307" s="3"/>
      <c r="V307" s="3"/>
      <c r="W307" s="3"/>
      <c r="X307" s="61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  <c r="AT307" s="43"/>
      <c r="AU307" s="43"/>
      <c r="AV307" s="43"/>
      <c r="AW307" s="43"/>
      <c r="AX307" s="43"/>
      <c r="AY307" s="43"/>
      <c r="AZ307" s="43"/>
      <c r="BA307" s="43"/>
      <c r="BB307" s="43"/>
      <c r="BC307" s="43"/>
      <c r="BD307" s="43"/>
      <c r="BE307" s="43"/>
      <c r="BF307" s="43"/>
      <c r="BG307" s="43"/>
      <c r="BH307" s="43"/>
      <c r="BI307" s="43"/>
      <c r="BJ307" s="43"/>
      <c r="BK307" s="43"/>
      <c r="BL307" s="43"/>
      <c r="BM307" s="43"/>
      <c r="BN307" s="43"/>
      <c r="BO307" s="43"/>
      <c r="BP307" s="43"/>
      <c r="BQ307" s="43"/>
      <c r="BR307" s="43"/>
      <c r="BS307" s="43"/>
      <c r="BT307" s="43"/>
      <c r="BU307" s="43"/>
      <c r="BV307" s="43"/>
      <c r="BW307" s="43"/>
    </row>
    <row r="308" spans="1:75" s="36" customFormat="1">
      <c r="A308" s="61"/>
      <c r="B308" s="5"/>
      <c r="C308" s="5"/>
      <c r="D308" s="39"/>
      <c r="E308" s="40"/>
      <c r="F308" s="39"/>
      <c r="G308" s="5"/>
      <c r="H308" s="5"/>
      <c r="I308" s="3"/>
      <c r="J308" s="3"/>
      <c r="K308" s="3"/>
      <c r="L308" s="3"/>
      <c r="M308" s="41"/>
      <c r="N308" s="5"/>
      <c r="O308" s="42"/>
      <c r="P308" s="62"/>
      <c r="Q308" s="62"/>
      <c r="R308" s="5"/>
      <c r="S308" s="5"/>
      <c r="T308" s="3"/>
      <c r="U308" s="3"/>
      <c r="V308" s="3"/>
      <c r="W308" s="3"/>
      <c r="X308" s="61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  <c r="AT308" s="43"/>
      <c r="AU308" s="43"/>
      <c r="AV308" s="43"/>
      <c r="AW308" s="43"/>
      <c r="AX308" s="43"/>
      <c r="AY308" s="43"/>
      <c r="AZ308" s="43"/>
      <c r="BA308" s="43"/>
      <c r="BB308" s="43"/>
      <c r="BC308" s="43"/>
      <c r="BD308" s="43"/>
      <c r="BE308" s="43"/>
      <c r="BF308" s="43"/>
      <c r="BG308" s="43"/>
      <c r="BH308" s="43"/>
      <c r="BI308" s="43"/>
      <c r="BJ308" s="43"/>
      <c r="BK308" s="43"/>
      <c r="BL308" s="43"/>
      <c r="BM308" s="43"/>
      <c r="BN308" s="43"/>
      <c r="BO308" s="43"/>
      <c r="BP308" s="43"/>
      <c r="BQ308" s="43"/>
      <c r="BR308" s="43"/>
      <c r="BS308" s="43"/>
      <c r="BT308" s="43"/>
      <c r="BU308" s="43"/>
      <c r="BV308" s="43"/>
      <c r="BW308" s="43"/>
    </row>
    <row r="309" spans="1:75" s="36" customFormat="1">
      <c r="A309" s="61"/>
      <c r="B309" s="5"/>
      <c r="C309" s="5"/>
      <c r="D309" s="39"/>
      <c r="E309" s="40"/>
      <c r="F309" s="39"/>
      <c r="G309" s="5"/>
      <c r="H309" s="5"/>
      <c r="I309" s="3"/>
      <c r="J309" s="3"/>
      <c r="K309" s="3"/>
      <c r="L309" s="3"/>
      <c r="M309" s="41"/>
      <c r="N309" s="5"/>
      <c r="O309" s="42"/>
      <c r="P309" s="62"/>
      <c r="Q309" s="62"/>
      <c r="R309" s="5"/>
      <c r="S309" s="5"/>
      <c r="T309" s="3"/>
      <c r="U309" s="3"/>
      <c r="V309" s="3"/>
      <c r="W309" s="3"/>
      <c r="X309" s="61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  <c r="AT309" s="43"/>
      <c r="AU309" s="43"/>
      <c r="AV309" s="43"/>
      <c r="AW309" s="43"/>
      <c r="AX309" s="43"/>
      <c r="AY309" s="43"/>
      <c r="AZ309" s="43"/>
      <c r="BA309" s="43"/>
      <c r="BB309" s="43"/>
      <c r="BC309" s="43"/>
      <c r="BD309" s="43"/>
      <c r="BE309" s="43"/>
      <c r="BF309" s="43"/>
      <c r="BG309" s="43"/>
      <c r="BH309" s="43"/>
      <c r="BI309" s="43"/>
      <c r="BJ309" s="43"/>
      <c r="BK309" s="43"/>
      <c r="BL309" s="43"/>
      <c r="BM309" s="43"/>
      <c r="BN309" s="43"/>
      <c r="BO309" s="43"/>
      <c r="BP309" s="43"/>
      <c r="BQ309" s="43"/>
      <c r="BR309" s="43"/>
      <c r="BS309" s="43"/>
      <c r="BT309" s="43"/>
      <c r="BU309" s="43"/>
      <c r="BV309" s="43"/>
      <c r="BW309" s="43"/>
    </row>
    <row r="310" spans="1:75" s="36" customFormat="1">
      <c r="A310" s="61"/>
      <c r="B310" s="5"/>
      <c r="C310" s="5"/>
      <c r="D310" s="39"/>
      <c r="E310" s="40"/>
      <c r="F310" s="39"/>
      <c r="G310" s="5"/>
      <c r="H310" s="5"/>
      <c r="I310" s="3"/>
      <c r="J310" s="3"/>
      <c r="K310" s="3"/>
      <c r="L310" s="3"/>
      <c r="M310" s="41"/>
      <c r="N310" s="5"/>
      <c r="O310" s="42"/>
      <c r="P310" s="62"/>
      <c r="Q310" s="62"/>
      <c r="R310" s="5"/>
      <c r="S310" s="5"/>
      <c r="T310" s="3"/>
      <c r="U310" s="3"/>
      <c r="V310" s="3"/>
      <c r="W310" s="3"/>
      <c r="X310" s="61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  <c r="AT310" s="43"/>
      <c r="AU310" s="43"/>
      <c r="AV310" s="43"/>
      <c r="AW310" s="43"/>
      <c r="AX310" s="43"/>
      <c r="AY310" s="43"/>
      <c r="AZ310" s="43"/>
      <c r="BA310" s="43"/>
      <c r="BB310" s="43"/>
      <c r="BC310" s="43"/>
      <c r="BD310" s="43"/>
      <c r="BE310" s="43"/>
      <c r="BF310" s="43"/>
      <c r="BG310" s="43"/>
      <c r="BH310" s="43"/>
      <c r="BI310" s="43"/>
      <c r="BJ310" s="43"/>
      <c r="BK310" s="43"/>
      <c r="BL310" s="43"/>
      <c r="BM310" s="43"/>
      <c r="BN310" s="43"/>
      <c r="BO310" s="43"/>
      <c r="BP310" s="43"/>
      <c r="BQ310" s="43"/>
      <c r="BR310" s="43"/>
      <c r="BS310" s="43"/>
      <c r="BT310" s="43"/>
      <c r="BU310" s="43"/>
      <c r="BV310" s="43"/>
      <c r="BW310" s="43"/>
    </row>
    <row r="311" spans="1:75" s="36" customFormat="1">
      <c r="A311" s="61"/>
      <c r="B311" s="5"/>
      <c r="C311" s="5"/>
      <c r="D311" s="39"/>
      <c r="E311" s="40"/>
      <c r="F311" s="39"/>
      <c r="G311" s="5"/>
      <c r="H311" s="5"/>
      <c r="I311" s="3"/>
      <c r="J311" s="3"/>
      <c r="K311" s="3"/>
      <c r="L311" s="3"/>
      <c r="M311" s="41"/>
      <c r="N311" s="5"/>
      <c r="O311" s="42"/>
      <c r="P311" s="62"/>
      <c r="Q311" s="62"/>
      <c r="R311" s="5"/>
      <c r="S311" s="5"/>
      <c r="T311" s="3"/>
      <c r="U311" s="3"/>
      <c r="V311" s="3"/>
      <c r="W311" s="3"/>
      <c r="X311" s="61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  <c r="AT311" s="43"/>
      <c r="AU311" s="43"/>
      <c r="AV311" s="43"/>
      <c r="AW311" s="43"/>
      <c r="AX311" s="43"/>
      <c r="AY311" s="43"/>
      <c r="AZ311" s="43"/>
      <c r="BA311" s="43"/>
      <c r="BB311" s="43"/>
      <c r="BC311" s="43"/>
      <c r="BD311" s="43"/>
      <c r="BE311" s="43"/>
      <c r="BF311" s="43"/>
      <c r="BG311" s="43"/>
      <c r="BH311" s="43"/>
      <c r="BI311" s="43"/>
      <c r="BJ311" s="43"/>
      <c r="BK311" s="43"/>
      <c r="BL311" s="43"/>
      <c r="BM311" s="43"/>
      <c r="BN311" s="43"/>
      <c r="BO311" s="43"/>
      <c r="BP311" s="43"/>
      <c r="BQ311" s="43"/>
      <c r="BR311" s="43"/>
      <c r="BS311" s="43"/>
      <c r="BT311" s="43"/>
      <c r="BU311" s="43"/>
      <c r="BV311" s="43"/>
      <c r="BW311" s="43"/>
    </row>
    <row r="312" spans="1:75" s="36" customFormat="1">
      <c r="A312" s="61"/>
      <c r="B312" s="5"/>
      <c r="C312" s="5"/>
      <c r="D312" s="39"/>
      <c r="E312" s="40"/>
      <c r="F312" s="39"/>
      <c r="G312" s="5"/>
      <c r="H312" s="5"/>
      <c r="I312" s="3"/>
      <c r="J312" s="3"/>
      <c r="K312" s="3"/>
      <c r="L312" s="3"/>
      <c r="M312" s="41"/>
      <c r="N312" s="5"/>
      <c r="O312" s="42"/>
      <c r="P312" s="62"/>
      <c r="Q312" s="62"/>
      <c r="R312" s="5"/>
      <c r="S312" s="5"/>
      <c r="T312" s="3"/>
      <c r="U312" s="3"/>
      <c r="V312" s="3"/>
      <c r="W312" s="3"/>
      <c r="X312" s="61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  <c r="BG312" s="43"/>
      <c r="BH312" s="43"/>
      <c r="BI312" s="43"/>
      <c r="BJ312" s="43"/>
      <c r="BK312" s="43"/>
      <c r="BL312" s="43"/>
      <c r="BM312" s="43"/>
      <c r="BN312" s="43"/>
      <c r="BO312" s="43"/>
      <c r="BP312" s="43"/>
      <c r="BQ312" s="43"/>
      <c r="BR312" s="43"/>
      <c r="BS312" s="43"/>
      <c r="BT312" s="43"/>
      <c r="BU312" s="43"/>
      <c r="BV312" s="43"/>
      <c r="BW312" s="43"/>
    </row>
    <row r="313" spans="1:75" s="36" customFormat="1">
      <c r="A313" s="61"/>
      <c r="B313" s="5"/>
      <c r="C313" s="5"/>
      <c r="D313" s="39"/>
      <c r="E313" s="40"/>
      <c r="F313" s="39"/>
      <c r="G313" s="5"/>
      <c r="H313" s="5"/>
      <c r="I313" s="3"/>
      <c r="J313" s="3"/>
      <c r="K313" s="3"/>
      <c r="L313" s="3"/>
      <c r="M313" s="41"/>
      <c r="N313" s="5"/>
      <c r="O313" s="42"/>
      <c r="P313" s="62"/>
      <c r="Q313" s="62"/>
      <c r="R313" s="5"/>
      <c r="S313" s="5"/>
      <c r="T313" s="3"/>
      <c r="U313" s="3"/>
      <c r="V313" s="3"/>
      <c r="W313" s="3"/>
      <c r="X313" s="61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  <c r="BB313" s="43"/>
      <c r="BC313" s="43"/>
      <c r="BD313" s="43"/>
      <c r="BE313" s="43"/>
      <c r="BF313" s="43"/>
      <c r="BG313" s="43"/>
      <c r="BH313" s="43"/>
      <c r="BI313" s="43"/>
      <c r="BJ313" s="43"/>
      <c r="BK313" s="43"/>
      <c r="BL313" s="43"/>
      <c r="BM313" s="43"/>
      <c r="BN313" s="43"/>
      <c r="BO313" s="43"/>
      <c r="BP313" s="43"/>
      <c r="BQ313" s="43"/>
      <c r="BR313" s="43"/>
      <c r="BS313" s="43"/>
      <c r="BT313" s="43"/>
      <c r="BU313" s="43"/>
      <c r="BV313" s="43"/>
      <c r="BW313" s="43"/>
    </row>
    <row r="314" spans="1:75" s="36" customFormat="1">
      <c r="A314" s="61"/>
      <c r="B314" s="5"/>
      <c r="C314" s="5"/>
      <c r="D314" s="39"/>
      <c r="E314" s="40"/>
      <c r="F314" s="39"/>
      <c r="G314" s="5"/>
      <c r="H314" s="5"/>
      <c r="I314" s="3"/>
      <c r="J314" s="3"/>
      <c r="K314" s="3"/>
      <c r="L314" s="3"/>
      <c r="M314" s="41"/>
      <c r="N314" s="5"/>
      <c r="O314" s="42"/>
      <c r="P314" s="62"/>
      <c r="Q314" s="62"/>
      <c r="R314" s="5"/>
      <c r="S314" s="5"/>
      <c r="T314" s="3"/>
      <c r="U314" s="3"/>
      <c r="V314" s="3"/>
      <c r="W314" s="3"/>
      <c r="X314" s="61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  <c r="AL314" s="43"/>
      <c r="AM314" s="43"/>
      <c r="AN314" s="43"/>
      <c r="AO314" s="43"/>
      <c r="AP314" s="43"/>
      <c r="AQ314" s="43"/>
      <c r="AR314" s="43"/>
      <c r="AS314" s="43"/>
      <c r="AT314" s="43"/>
      <c r="AU314" s="43"/>
      <c r="AV314" s="43"/>
      <c r="AW314" s="43"/>
      <c r="AX314" s="43"/>
      <c r="AY314" s="43"/>
      <c r="AZ314" s="43"/>
      <c r="BA314" s="43"/>
      <c r="BB314" s="43"/>
      <c r="BC314" s="43"/>
      <c r="BD314" s="43"/>
      <c r="BE314" s="43"/>
      <c r="BF314" s="43"/>
      <c r="BG314" s="43"/>
      <c r="BH314" s="43"/>
      <c r="BI314" s="43"/>
      <c r="BJ314" s="43"/>
      <c r="BK314" s="43"/>
      <c r="BL314" s="43"/>
      <c r="BM314" s="43"/>
      <c r="BN314" s="43"/>
      <c r="BO314" s="43"/>
      <c r="BP314" s="43"/>
      <c r="BQ314" s="43"/>
      <c r="BR314" s="43"/>
      <c r="BS314" s="43"/>
      <c r="BT314" s="43"/>
      <c r="BU314" s="43"/>
      <c r="BV314" s="43"/>
      <c r="BW314" s="43"/>
    </row>
    <row r="315" spans="1:75" s="36" customFormat="1">
      <c r="A315" s="61"/>
      <c r="B315" s="5"/>
      <c r="C315" s="5"/>
      <c r="D315" s="39"/>
      <c r="E315" s="40"/>
      <c r="F315" s="39"/>
      <c r="G315" s="5"/>
      <c r="H315" s="5"/>
      <c r="I315" s="3"/>
      <c r="J315" s="3"/>
      <c r="K315" s="3"/>
      <c r="L315" s="3"/>
      <c r="M315" s="41"/>
      <c r="N315" s="5"/>
      <c r="O315" s="42"/>
      <c r="P315" s="62"/>
      <c r="Q315" s="62"/>
      <c r="R315" s="5"/>
      <c r="S315" s="5"/>
      <c r="T315" s="3"/>
      <c r="U315" s="3"/>
      <c r="V315" s="3"/>
      <c r="W315" s="3"/>
      <c r="X315" s="61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  <c r="AL315" s="43"/>
      <c r="AM315" s="43"/>
      <c r="AN315" s="43"/>
      <c r="AO315" s="43"/>
      <c r="AP315" s="43"/>
      <c r="AQ315" s="43"/>
      <c r="AR315" s="43"/>
      <c r="AS315" s="43"/>
      <c r="AT315" s="43"/>
      <c r="AU315" s="43"/>
      <c r="AV315" s="43"/>
      <c r="AW315" s="43"/>
      <c r="AX315" s="43"/>
      <c r="AY315" s="43"/>
      <c r="AZ315" s="43"/>
      <c r="BA315" s="43"/>
      <c r="BB315" s="43"/>
      <c r="BC315" s="43"/>
      <c r="BD315" s="43"/>
      <c r="BE315" s="43"/>
      <c r="BF315" s="43"/>
      <c r="BG315" s="43"/>
      <c r="BH315" s="43"/>
      <c r="BI315" s="43"/>
      <c r="BJ315" s="43"/>
      <c r="BK315" s="43"/>
      <c r="BL315" s="43"/>
      <c r="BM315" s="43"/>
      <c r="BN315" s="43"/>
      <c r="BO315" s="43"/>
      <c r="BP315" s="43"/>
      <c r="BQ315" s="43"/>
      <c r="BR315" s="43"/>
      <c r="BS315" s="43"/>
      <c r="BT315" s="43"/>
      <c r="BU315" s="43"/>
      <c r="BV315" s="43"/>
      <c r="BW315" s="43"/>
    </row>
    <row r="316" spans="1:75" s="36" customFormat="1">
      <c r="A316" s="61"/>
      <c r="B316" s="5"/>
      <c r="C316" s="5"/>
      <c r="D316" s="39"/>
      <c r="E316" s="40"/>
      <c r="F316" s="39"/>
      <c r="G316" s="5"/>
      <c r="H316" s="5"/>
      <c r="I316" s="3"/>
      <c r="J316" s="3"/>
      <c r="K316" s="3"/>
      <c r="L316" s="3"/>
      <c r="M316" s="41"/>
      <c r="N316" s="5"/>
      <c r="O316" s="42"/>
      <c r="P316" s="62"/>
      <c r="Q316" s="62"/>
      <c r="R316" s="5"/>
      <c r="S316" s="5"/>
      <c r="T316" s="3"/>
      <c r="U316" s="3"/>
      <c r="V316" s="3"/>
      <c r="W316" s="3"/>
      <c r="X316" s="61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  <c r="AL316" s="43"/>
      <c r="AM316" s="43"/>
      <c r="AN316" s="43"/>
      <c r="AO316" s="43"/>
      <c r="AP316" s="43"/>
      <c r="AQ316" s="43"/>
      <c r="AR316" s="43"/>
      <c r="AS316" s="43"/>
      <c r="AT316" s="43"/>
      <c r="AU316" s="43"/>
      <c r="AV316" s="43"/>
      <c r="AW316" s="43"/>
      <c r="AX316" s="43"/>
      <c r="AY316" s="43"/>
      <c r="AZ316" s="43"/>
      <c r="BA316" s="43"/>
      <c r="BB316" s="43"/>
      <c r="BC316" s="43"/>
      <c r="BD316" s="43"/>
      <c r="BE316" s="43"/>
      <c r="BF316" s="43"/>
      <c r="BG316" s="43"/>
      <c r="BH316" s="43"/>
      <c r="BI316" s="43"/>
      <c r="BJ316" s="43"/>
      <c r="BK316" s="43"/>
      <c r="BL316" s="43"/>
      <c r="BM316" s="43"/>
      <c r="BN316" s="43"/>
      <c r="BO316" s="43"/>
      <c r="BP316" s="43"/>
      <c r="BQ316" s="43"/>
      <c r="BR316" s="43"/>
      <c r="BS316" s="43"/>
      <c r="BT316" s="43"/>
      <c r="BU316" s="43"/>
      <c r="BV316" s="43"/>
      <c r="BW316" s="43"/>
    </row>
    <row r="317" spans="1:75" s="36" customFormat="1">
      <c r="A317" s="61"/>
      <c r="B317" s="5"/>
      <c r="C317" s="5"/>
      <c r="D317" s="39"/>
      <c r="E317" s="40"/>
      <c r="F317" s="39"/>
      <c r="G317" s="5"/>
      <c r="H317" s="5"/>
      <c r="I317" s="3"/>
      <c r="J317" s="3"/>
      <c r="K317" s="3"/>
      <c r="L317" s="3"/>
      <c r="M317" s="41"/>
      <c r="N317" s="5"/>
      <c r="O317" s="42"/>
      <c r="P317" s="62"/>
      <c r="Q317" s="62"/>
      <c r="R317" s="5"/>
      <c r="S317" s="5"/>
      <c r="T317" s="3"/>
      <c r="U317" s="3"/>
      <c r="V317" s="3"/>
      <c r="W317" s="3"/>
      <c r="X317" s="61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  <c r="AL317" s="43"/>
      <c r="AM317" s="43"/>
      <c r="AN317" s="43"/>
      <c r="AO317" s="43"/>
      <c r="AP317" s="43"/>
      <c r="AQ317" s="43"/>
      <c r="AR317" s="43"/>
      <c r="AS317" s="43"/>
      <c r="AT317" s="43"/>
      <c r="AU317" s="43"/>
      <c r="AV317" s="43"/>
      <c r="AW317" s="43"/>
      <c r="AX317" s="43"/>
      <c r="AY317" s="43"/>
      <c r="AZ317" s="43"/>
      <c r="BA317" s="43"/>
      <c r="BB317" s="43"/>
      <c r="BC317" s="43"/>
      <c r="BD317" s="43"/>
      <c r="BE317" s="43"/>
      <c r="BF317" s="43"/>
      <c r="BG317" s="43"/>
      <c r="BH317" s="43"/>
      <c r="BI317" s="43"/>
      <c r="BJ317" s="43"/>
      <c r="BK317" s="43"/>
      <c r="BL317" s="43"/>
      <c r="BM317" s="43"/>
      <c r="BN317" s="43"/>
      <c r="BO317" s="43"/>
      <c r="BP317" s="43"/>
      <c r="BQ317" s="43"/>
      <c r="BR317" s="43"/>
      <c r="BS317" s="43"/>
      <c r="BT317" s="43"/>
      <c r="BU317" s="43"/>
      <c r="BV317" s="43"/>
      <c r="BW317" s="43"/>
    </row>
    <row r="318" spans="1:75" s="36" customFormat="1">
      <c r="A318" s="61"/>
      <c r="B318" s="5"/>
      <c r="C318" s="5"/>
      <c r="D318" s="39"/>
      <c r="E318" s="40"/>
      <c r="F318" s="39"/>
      <c r="G318" s="5"/>
      <c r="H318" s="5"/>
      <c r="I318" s="3"/>
      <c r="J318" s="3"/>
      <c r="K318" s="3"/>
      <c r="L318" s="3"/>
      <c r="M318" s="41"/>
      <c r="N318" s="5"/>
      <c r="O318" s="42"/>
      <c r="P318" s="62"/>
      <c r="Q318" s="62"/>
      <c r="R318" s="5"/>
      <c r="S318" s="5"/>
      <c r="T318" s="3"/>
      <c r="U318" s="3"/>
      <c r="V318" s="3"/>
      <c r="W318" s="3"/>
      <c r="X318" s="61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  <c r="AL318" s="43"/>
      <c r="AM318" s="43"/>
      <c r="AN318" s="43"/>
      <c r="AO318" s="43"/>
      <c r="AP318" s="43"/>
      <c r="AQ318" s="43"/>
      <c r="AR318" s="43"/>
      <c r="AS318" s="43"/>
      <c r="AT318" s="43"/>
      <c r="AU318" s="43"/>
      <c r="AV318" s="43"/>
      <c r="AW318" s="43"/>
      <c r="AX318" s="43"/>
      <c r="AY318" s="43"/>
      <c r="AZ318" s="43"/>
      <c r="BA318" s="43"/>
      <c r="BB318" s="43"/>
      <c r="BC318" s="43"/>
      <c r="BD318" s="43"/>
      <c r="BE318" s="43"/>
      <c r="BF318" s="43"/>
      <c r="BG318" s="43"/>
      <c r="BH318" s="43"/>
      <c r="BI318" s="43"/>
      <c r="BJ318" s="43"/>
      <c r="BK318" s="43"/>
      <c r="BL318" s="43"/>
      <c r="BM318" s="43"/>
      <c r="BN318" s="43"/>
      <c r="BO318" s="43"/>
      <c r="BP318" s="43"/>
      <c r="BQ318" s="43"/>
      <c r="BR318" s="43"/>
      <c r="BS318" s="43"/>
      <c r="BT318" s="43"/>
      <c r="BU318" s="43"/>
      <c r="BV318" s="43"/>
      <c r="BW318" s="43"/>
    </row>
    <row r="319" spans="1:75" s="36" customFormat="1">
      <c r="A319" s="61"/>
      <c r="B319" s="5"/>
      <c r="C319" s="5"/>
      <c r="D319" s="39"/>
      <c r="E319" s="40"/>
      <c r="F319" s="39"/>
      <c r="G319" s="5"/>
      <c r="H319" s="5"/>
      <c r="I319" s="3"/>
      <c r="J319" s="3"/>
      <c r="K319" s="3"/>
      <c r="L319" s="3"/>
      <c r="M319" s="41"/>
      <c r="N319" s="5"/>
      <c r="O319" s="42"/>
      <c r="P319" s="62"/>
      <c r="Q319" s="62"/>
      <c r="R319" s="5"/>
      <c r="S319" s="5"/>
      <c r="T319" s="3"/>
      <c r="U319" s="3"/>
      <c r="V319" s="3"/>
      <c r="W319" s="3"/>
      <c r="X319" s="61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  <c r="AL319" s="43"/>
      <c r="AM319" s="43"/>
      <c r="AN319" s="43"/>
      <c r="AO319" s="43"/>
      <c r="AP319" s="43"/>
      <c r="AQ319" s="43"/>
      <c r="AR319" s="43"/>
      <c r="AS319" s="43"/>
      <c r="AT319" s="43"/>
      <c r="AU319" s="43"/>
      <c r="AV319" s="43"/>
      <c r="AW319" s="43"/>
      <c r="AX319" s="43"/>
      <c r="AY319" s="43"/>
      <c r="AZ319" s="43"/>
      <c r="BA319" s="43"/>
      <c r="BB319" s="43"/>
      <c r="BC319" s="43"/>
      <c r="BD319" s="43"/>
      <c r="BE319" s="43"/>
      <c r="BF319" s="43"/>
      <c r="BG319" s="43"/>
      <c r="BH319" s="43"/>
      <c r="BI319" s="43"/>
      <c r="BJ319" s="43"/>
      <c r="BK319" s="43"/>
      <c r="BL319" s="43"/>
      <c r="BM319" s="43"/>
      <c r="BN319" s="43"/>
      <c r="BO319" s="43"/>
      <c r="BP319" s="43"/>
      <c r="BQ319" s="43"/>
      <c r="BR319" s="43"/>
      <c r="BS319" s="43"/>
      <c r="BT319" s="43"/>
      <c r="BU319" s="43"/>
      <c r="BV319" s="43"/>
      <c r="BW319" s="43"/>
    </row>
    <row r="320" spans="1:75" s="36" customFormat="1">
      <c r="A320" s="61"/>
      <c r="B320" s="5"/>
      <c r="C320" s="5"/>
      <c r="D320" s="39"/>
      <c r="E320" s="40"/>
      <c r="F320" s="39"/>
      <c r="G320" s="5"/>
      <c r="H320" s="5"/>
      <c r="I320" s="3"/>
      <c r="J320" s="3"/>
      <c r="K320" s="3"/>
      <c r="L320" s="3"/>
      <c r="M320" s="41"/>
      <c r="N320" s="5"/>
      <c r="O320" s="42"/>
      <c r="P320" s="62"/>
      <c r="Q320" s="62"/>
      <c r="R320" s="5"/>
      <c r="S320" s="5"/>
      <c r="T320" s="3"/>
      <c r="U320" s="3"/>
      <c r="V320" s="3"/>
      <c r="W320" s="3"/>
      <c r="X320" s="61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  <c r="AM320" s="43"/>
      <c r="AN320" s="43"/>
      <c r="AO320" s="43"/>
      <c r="AP320" s="43"/>
      <c r="AQ320" s="43"/>
      <c r="AR320" s="43"/>
      <c r="AS320" s="43"/>
      <c r="AT320" s="43"/>
      <c r="AU320" s="43"/>
      <c r="AV320" s="43"/>
      <c r="AW320" s="43"/>
      <c r="AX320" s="43"/>
      <c r="AY320" s="43"/>
      <c r="AZ320" s="43"/>
      <c r="BA320" s="43"/>
      <c r="BB320" s="43"/>
      <c r="BC320" s="43"/>
      <c r="BD320" s="43"/>
      <c r="BE320" s="43"/>
      <c r="BF320" s="43"/>
      <c r="BG320" s="43"/>
      <c r="BH320" s="43"/>
      <c r="BI320" s="43"/>
      <c r="BJ320" s="43"/>
      <c r="BK320" s="43"/>
      <c r="BL320" s="43"/>
      <c r="BM320" s="43"/>
      <c r="BN320" s="43"/>
      <c r="BO320" s="43"/>
      <c r="BP320" s="43"/>
      <c r="BQ320" s="43"/>
      <c r="BR320" s="43"/>
      <c r="BS320" s="43"/>
      <c r="BT320" s="43"/>
      <c r="BU320" s="43"/>
      <c r="BV320" s="43"/>
      <c r="BW320" s="43"/>
    </row>
    <row r="321" spans="1:75" s="36" customFormat="1">
      <c r="A321" s="61"/>
      <c r="B321" s="5"/>
      <c r="C321" s="5"/>
      <c r="D321" s="39"/>
      <c r="E321" s="40"/>
      <c r="F321" s="39"/>
      <c r="G321" s="5"/>
      <c r="H321" s="5"/>
      <c r="I321" s="3"/>
      <c r="J321" s="3"/>
      <c r="K321" s="3"/>
      <c r="L321" s="3"/>
      <c r="M321" s="41"/>
      <c r="N321" s="5"/>
      <c r="O321" s="42"/>
      <c r="P321" s="62"/>
      <c r="Q321" s="62"/>
      <c r="R321" s="5"/>
      <c r="S321" s="5"/>
      <c r="T321" s="3"/>
      <c r="U321" s="3"/>
      <c r="V321" s="3"/>
      <c r="W321" s="3"/>
      <c r="X321" s="61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43"/>
      <c r="AM321" s="43"/>
      <c r="AN321" s="43"/>
      <c r="AO321" s="43"/>
      <c r="AP321" s="43"/>
      <c r="AQ321" s="43"/>
      <c r="AR321" s="43"/>
      <c r="AS321" s="43"/>
      <c r="AT321" s="43"/>
      <c r="AU321" s="43"/>
      <c r="AV321" s="43"/>
      <c r="AW321" s="43"/>
      <c r="AX321" s="43"/>
      <c r="AY321" s="43"/>
      <c r="AZ321" s="43"/>
      <c r="BA321" s="43"/>
      <c r="BB321" s="43"/>
      <c r="BC321" s="43"/>
      <c r="BD321" s="43"/>
      <c r="BE321" s="43"/>
      <c r="BF321" s="43"/>
      <c r="BG321" s="43"/>
      <c r="BH321" s="43"/>
      <c r="BI321" s="43"/>
      <c r="BJ321" s="43"/>
      <c r="BK321" s="43"/>
      <c r="BL321" s="43"/>
      <c r="BM321" s="43"/>
      <c r="BN321" s="43"/>
      <c r="BO321" s="43"/>
      <c r="BP321" s="43"/>
      <c r="BQ321" s="43"/>
      <c r="BR321" s="43"/>
      <c r="BS321" s="43"/>
      <c r="BT321" s="43"/>
      <c r="BU321" s="43"/>
      <c r="BV321" s="43"/>
      <c r="BW321" s="43"/>
    </row>
    <row r="322" spans="1:75" s="36" customFormat="1">
      <c r="A322" s="61"/>
      <c r="B322" s="5"/>
      <c r="C322" s="5"/>
      <c r="D322" s="39"/>
      <c r="E322" s="40"/>
      <c r="F322" s="39"/>
      <c r="G322" s="5"/>
      <c r="H322" s="5"/>
      <c r="I322" s="3"/>
      <c r="J322" s="3"/>
      <c r="K322" s="3"/>
      <c r="L322" s="3"/>
      <c r="M322" s="41"/>
      <c r="N322" s="5"/>
      <c r="O322" s="42"/>
      <c r="P322" s="62"/>
      <c r="Q322" s="62"/>
      <c r="R322" s="5"/>
      <c r="S322" s="5"/>
      <c r="T322" s="3"/>
      <c r="U322" s="3"/>
      <c r="V322" s="3"/>
      <c r="W322" s="3"/>
      <c r="X322" s="61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  <c r="AT322" s="43"/>
      <c r="AU322" s="43"/>
      <c r="AV322" s="43"/>
      <c r="AW322" s="43"/>
      <c r="AX322" s="43"/>
      <c r="AY322" s="43"/>
      <c r="AZ322" s="43"/>
      <c r="BA322" s="43"/>
      <c r="BB322" s="43"/>
      <c r="BC322" s="43"/>
      <c r="BD322" s="43"/>
      <c r="BE322" s="43"/>
      <c r="BF322" s="43"/>
      <c r="BG322" s="43"/>
      <c r="BH322" s="43"/>
      <c r="BI322" s="43"/>
      <c r="BJ322" s="43"/>
      <c r="BK322" s="43"/>
      <c r="BL322" s="43"/>
      <c r="BM322" s="43"/>
      <c r="BN322" s="43"/>
      <c r="BO322" s="43"/>
      <c r="BP322" s="43"/>
      <c r="BQ322" s="43"/>
      <c r="BR322" s="43"/>
      <c r="BS322" s="43"/>
      <c r="BT322" s="43"/>
      <c r="BU322" s="43"/>
      <c r="BV322" s="43"/>
      <c r="BW322" s="43"/>
    </row>
    <row r="323" spans="1:75" s="36" customFormat="1">
      <c r="A323" s="61"/>
      <c r="B323" s="5"/>
      <c r="C323" s="5"/>
      <c r="D323" s="39"/>
      <c r="E323" s="40"/>
      <c r="F323" s="39"/>
      <c r="G323" s="5"/>
      <c r="H323" s="5"/>
      <c r="I323" s="3"/>
      <c r="J323" s="3"/>
      <c r="K323" s="3"/>
      <c r="L323" s="3"/>
      <c r="M323" s="41"/>
      <c r="N323" s="5"/>
      <c r="O323" s="42"/>
      <c r="P323" s="62"/>
      <c r="Q323" s="62"/>
      <c r="R323" s="5"/>
      <c r="S323" s="5"/>
      <c r="T323" s="3"/>
      <c r="U323" s="3"/>
      <c r="V323" s="3"/>
      <c r="W323" s="3"/>
      <c r="X323" s="61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  <c r="AT323" s="43"/>
      <c r="AU323" s="43"/>
      <c r="AV323" s="43"/>
      <c r="AW323" s="43"/>
      <c r="AX323" s="43"/>
      <c r="AY323" s="43"/>
      <c r="AZ323" s="43"/>
      <c r="BA323" s="43"/>
      <c r="BB323" s="43"/>
      <c r="BC323" s="43"/>
      <c r="BD323" s="43"/>
      <c r="BE323" s="43"/>
      <c r="BF323" s="43"/>
      <c r="BG323" s="43"/>
      <c r="BH323" s="43"/>
      <c r="BI323" s="43"/>
      <c r="BJ323" s="43"/>
      <c r="BK323" s="43"/>
      <c r="BL323" s="43"/>
      <c r="BM323" s="43"/>
      <c r="BN323" s="43"/>
      <c r="BO323" s="43"/>
      <c r="BP323" s="43"/>
      <c r="BQ323" s="43"/>
      <c r="BR323" s="43"/>
      <c r="BS323" s="43"/>
      <c r="BT323" s="43"/>
      <c r="BU323" s="43"/>
      <c r="BV323" s="43"/>
      <c r="BW323" s="43"/>
    </row>
    <row r="324" spans="1:75" s="36" customFormat="1">
      <c r="A324" s="61"/>
      <c r="B324" s="5"/>
      <c r="C324" s="5"/>
      <c r="D324" s="39"/>
      <c r="E324" s="40"/>
      <c r="F324" s="39"/>
      <c r="G324" s="5"/>
      <c r="H324" s="5"/>
      <c r="I324" s="3"/>
      <c r="J324" s="3"/>
      <c r="K324" s="3"/>
      <c r="L324" s="3"/>
      <c r="M324" s="41"/>
      <c r="N324" s="5"/>
      <c r="O324" s="42"/>
      <c r="P324" s="62"/>
      <c r="Q324" s="62"/>
      <c r="R324" s="5"/>
      <c r="S324" s="5"/>
      <c r="T324" s="3"/>
      <c r="U324" s="3"/>
      <c r="V324" s="3"/>
      <c r="W324" s="3"/>
      <c r="X324" s="61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  <c r="AT324" s="43"/>
      <c r="AU324" s="43"/>
      <c r="AV324" s="43"/>
      <c r="AW324" s="43"/>
      <c r="AX324" s="43"/>
      <c r="AY324" s="43"/>
      <c r="AZ324" s="43"/>
      <c r="BA324" s="43"/>
      <c r="BB324" s="43"/>
      <c r="BC324" s="43"/>
      <c r="BD324" s="43"/>
      <c r="BE324" s="43"/>
      <c r="BF324" s="43"/>
      <c r="BG324" s="43"/>
      <c r="BH324" s="43"/>
      <c r="BI324" s="43"/>
      <c r="BJ324" s="43"/>
      <c r="BK324" s="43"/>
      <c r="BL324" s="43"/>
      <c r="BM324" s="43"/>
      <c r="BN324" s="43"/>
      <c r="BO324" s="43"/>
      <c r="BP324" s="43"/>
      <c r="BQ324" s="43"/>
      <c r="BR324" s="43"/>
      <c r="BS324" s="43"/>
      <c r="BT324" s="43"/>
      <c r="BU324" s="43"/>
      <c r="BV324" s="43"/>
      <c r="BW324" s="43"/>
    </row>
    <row r="325" spans="1:75" s="36" customFormat="1">
      <c r="A325" s="61"/>
      <c r="B325" s="5"/>
      <c r="C325" s="5"/>
      <c r="D325" s="39"/>
      <c r="E325" s="40"/>
      <c r="F325" s="39"/>
      <c r="G325" s="5"/>
      <c r="H325" s="5"/>
      <c r="I325" s="3"/>
      <c r="J325" s="3"/>
      <c r="K325" s="3"/>
      <c r="L325" s="3"/>
      <c r="M325" s="41"/>
      <c r="N325" s="5"/>
      <c r="O325" s="42"/>
      <c r="P325" s="62"/>
      <c r="Q325" s="62"/>
      <c r="R325" s="5"/>
      <c r="S325" s="5"/>
      <c r="T325" s="3"/>
      <c r="U325" s="3"/>
      <c r="V325" s="3"/>
      <c r="W325" s="3"/>
      <c r="X325" s="61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  <c r="AT325" s="43"/>
      <c r="AU325" s="43"/>
      <c r="AV325" s="43"/>
      <c r="AW325" s="43"/>
      <c r="AX325" s="43"/>
      <c r="AY325" s="43"/>
      <c r="AZ325" s="43"/>
      <c r="BA325" s="43"/>
      <c r="BB325" s="43"/>
      <c r="BC325" s="43"/>
      <c r="BD325" s="43"/>
      <c r="BE325" s="43"/>
      <c r="BF325" s="43"/>
      <c r="BG325" s="43"/>
      <c r="BH325" s="43"/>
      <c r="BI325" s="43"/>
      <c r="BJ325" s="43"/>
      <c r="BK325" s="43"/>
      <c r="BL325" s="43"/>
      <c r="BM325" s="43"/>
      <c r="BN325" s="43"/>
      <c r="BO325" s="43"/>
      <c r="BP325" s="43"/>
      <c r="BQ325" s="43"/>
      <c r="BR325" s="43"/>
      <c r="BS325" s="43"/>
      <c r="BT325" s="43"/>
      <c r="BU325" s="43"/>
      <c r="BV325" s="43"/>
      <c r="BW325" s="43"/>
    </row>
    <row r="326" spans="1:75" s="36" customFormat="1">
      <c r="A326" s="61"/>
      <c r="B326" s="5"/>
      <c r="C326" s="5"/>
      <c r="D326" s="39"/>
      <c r="E326" s="40"/>
      <c r="F326" s="39"/>
      <c r="G326" s="5"/>
      <c r="H326" s="5"/>
      <c r="I326" s="3"/>
      <c r="J326" s="3"/>
      <c r="K326" s="3"/>
      <c r="L326" s="3"/>
      <c r="M326" s="41"/>
      <c r="N326" s="5"/>
      <c r="O326" s="42"/>
      <c r="P326" s="62"/>
      <c r="Q326" s="62"/>
      <c r="R326" s="5"/>
      <c r="S326" s="5"/>
      <c r="T326" s="3"/>
      <c r="U326" s="3"/>
      <c r="V326" s="3"/>
      <c r="W326" s="3"/>
      <c r="X326" s="61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  <c r="AT326" s="43"/>
      <c r="AU326" s="43"/>
      <c r="AV326" s="43"/>
      <c r="AW326" s="43"/>
      <c r="AX326" s="43"/>
      <c r="AY326" s="43"/>
      <c r="AZ326" s="43"/>
      <c r="BA326" s="43"/>
      <c r="BB326" s="43"/>
      <c r="BC326" s="43"/>
      <c r="BD326" s="43"/>
      <c r="BE326" s="43"/>
      <c r="BF326" s="43"/>
      <c r="BG326" s="43"/>
      <c r="BH326" s="43"/>
      <c r="BI326" s="43"/>
      <c r="BJ326" s="43"/>
      <c r="BK326" s="43"/>
      <c r="BL326" s="43"/>
      <c r="BM326" s="43"/>
      <c r="BN326" s="43"/>
      <c r="BO326" s="43"/>
      <c r="BP326" s="43"/>
      <c r="BQ326" s="43"/>
      <c r="BR326" s="43"/>
      <c r="BS326" s="43"/>
      <c r="BT326" s="43"/>
      <c r="BU326" s="43"/>
      <c r="BV326" s="43"/>
      <c r="BW326" s="43"/>
    </row>
    <row r="327" spans="1:75" s="36" customFormat="1">
      <c r="A327" s="61"/>
      <c r="B327" s="5"/>
      <c r="C327" s="5"/>
      <c r="D327" s="39"/>
      <c r="E327" s="40"/>
      <c r="F327" s="39"/>
      <c r="G327" s="5"/>
      <c r="H327" s="5"/>
      <c r="I327" s="3"/>
      <c r="J327" s="3"/>
      <c r="K327" s="3"/>
      <c r="L327" s="3"/>
      <c r="M327" s="41"/>
      <c r="N327" s="5"/>
      <c r="O327" s="42"/>
      <c r="P327" s="62"/>
      <c r="Q327" s="62"/>
      <c r="R327" s="5"/>
      <c r="S327" s="5"/>
      <c r="T327" s="3"/>
      <c r="U327" s="3"/>
      <c r="V327" s="3"/>
      <c r="W327" s="3"/>
      <c r="X327" s="61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  <c r="AT327" s="43"/>
      <c r="AU327" s="43"/>
      <c r="AV327" s="43"/>
      <c r="AW327" s="43"/>
      <c r="AX327" s="43"/>
      <c r="AY327" s="43"/>
      <c r="AZ327" s="43"/>
      <c r="BA327" s="43"/>
      <c r="BB327" s="43"/>
      <c r="BC327" s="43"/>
      <c r="BD327" s="43"/>
      <c r="BE327" s="43"/>
      <c r="BF327" s="43"/>
      <c r="BG327" s="43"/>
      <c r="BH327" s="43"/>
      <c r="BI327" s="43"/>
      <c r="BJ327" s="43"/>
      <c r="BK327" s="43"/>
      <c r="BL327" s="43"/>
      <c r="BM327" s="43"/>
      <c r="BN327" s="43"/>
      <c r="BO327" s="43"/>
      <c r="BP327" s="43"/>
      <c r="BQ327" s="43"/>
      <c r="BR327" s="43"/>
      <c r="BS327" s="43"/>
      <c r="BT327" s="43"/>
      <c r="BU327" s="43"/>
      <c r="BV327" s="43"/>
      <c r="BW327" s="43"/>
    </row>
    <row r="328" spans="1:75" s="36" customFormat="1">
      <c r="A328" s="61"/>
      <c r="B328" s="5"/>
      <c r="C328" s="5"/>
      <c r="D328" s="39"/>
      <c r="E328" s="40"/>
      <c r="F328" s="39"/>
      <c r="G328" s="5"/>
      <c r="H328" s="5"/>
      <c r="I328" s="3"/>
      <c r="J328" s="3"/>
      <c r="K328" s="3"/>
      <c r="L328" s="3"/>
      <c r="M328" s="41"/>
      <c r="N328" s="5"/>
      <c r="O328" s="42"/>
      <c r="P328" s="62"/>
      <c r="Q328" s="62"/>
      <c r="R328" s="5"/>
      <c r="S328" s="5"/>
      <c r="T328" s="3"/>
      <c r="U328" s="3"/>
      <c r="V328" s="3"/>
      <c r="W328" s="3"/>
      <c r="X328" s="61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/>
      <c r="AM328" s="43"/>
      <c r="AN328" s="43"/>
      <c r="AO328" s="43"/>
      <c r="AP328" s="43"/>
      <c r="AQ328" s="43"/>
      <c r="AR328" s="43"/>
      <c r="AS328" s="43"/>
      <c r="AT328" s="43"/>
      <c r="AU328" s="43"/>
      <c r="AV328" s="43"/>
      <c r="AW328" s="43"/>
      <c r="AX328" s="43"/>
      <c r="AY328" s="43"/>
      <c r="AZ328" s="43"/>
      <c r="BA328" s="43"/>
      <c r="BB328" s="43"/>
      <c r="BC328" s="43"/>
      <c r="BD328" s="43"/>
      <c r="BE328" s="43"/>
      <c r="BF328" s="43"/>
      <c r="BG328" s="43"/>
      <c r="BH328" s="43"/>
      <c r="BI328" s="43"/>
      <c r="BJ328" s="43"/>
      <c r="BK328" s="43"/>
      <c r="BL328" s="43"/>
      <c r="BM328" s="43"/>
      <c r="BN328" s="43"/>
      <c r="BO328" s="43"/>
      <c r="BP328" s="43"/>
      <c r="BQ328" s="43"/>
      <c r="BR328" s="43"/>
      <c r="BS328" s="43"/>
      <c r="BT328" s="43"/>
      <c r="BU328" s="43"/>
      <c r="BV328" s="43"/>
      <c r="BW328" s="43"/>
    </row>
    <row r="329" spans="1:75" s="36" customFormat="1">
      <c r="A329" s="61"/>
      <c r="B329" s="5"/>
      <c r="C329" s="5"/>
      <c r="D329" s="39"/>
      <c r="E329" s="40"/>
      <c r="F329" s="39"/>
      <c r="G329" s="5"/>
      <c r="H329" s="5"/>
      <c r="I329" s="3"/>
      <c r="J329" s="3"/>
      <c r="K329" s="3"/>
      <c r="L329" s="3"/>
      <c r="M329" s="41"/>
      <c r="N329" s="5"/>
      <c r="O329" s="42"/>
      <c r="P329" s="62"/>
      <c r="Q329" s="62"/>
      <c r="R329" s="5"/>
      <c r="S329" s="5"/>
      <c r="T329" s="3"/>
      <c r="U329" s="3"/>
      <c r="V329" s="3"/>
      <c r="W329" s="3"/>
      <c r="X329" s="61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  <c r="AM329" s="43"/>
      <c r="AN329" s="43"/>
      <c r="AO329" s="43"/>
      <c r="AP329" s="43"/>
      <c r="AQ329" s="43"/>
      <c r="AR329" s="43"/>
      <c r="AS329" s="43"/>
      <c r="AT329" s="43"/>
      <c r="AU329" s="43"/>
      <c r="AV329" s="43"/>
      <c r="AW329" s="43"/>
      <c r="AX329" s="43"/>
      <c r="AY329" s="43"/>
      <c r="AZ329" s="43"/>
      <c r="BA329" s="43"/>
      <c r="BB329" s="43"/>
      <c r="BC329" s="43"/>
      <c r="BD329" s="43"/>
      <c r="BE329" s="43"/>
      <c r="BF329" s="43"/>
      <c r="BG329" s="43"/>
      <c r="BH329" s="43"/>
      <c r="BI329" s="43"/>
      <c r="BJ329" s="43"/>
      <c r="BK329" s="43"/>
      <c r="BL329" s="43"/>
      <c r="BM329" s="43"/>
      <c r="BN329" s="43"/>
      <c r="BO329" s="43"/>
      <c r="BP329" s="43"/>
      <c r="BQ329" s="43"/>
      <c r="BR329" s="43"/>
      <c r="BS329" s="43"/>
      <c r="BT329" s="43"/>
      <c r="BU329" s="43"/>
      <c r="BV329" s="43"/>
      <c r="BW329" s="43"/>
    </row>
    <row r="330" spans="1:75" s="36" customFormat="1">
      <c r="A330" s="61"/>
      <c r="B330" s="5"/>
      <c r="C330" s="5"/>
      <c r="D330" s="39"/>
      <c r="E330" s="40"/>
      <c r="F330" s="39"/>
      <c r="G330" s="5"/>
      <c r="H330" s="5"/>
      <c r="I330" s="3"/>
      <c r="J330" s="3"/>
      <c r="K330" s="3"/>
      <c r="L330" s="3"/>
      <c r="M330" s="41"/>
      <c r="N330" s="5"/>
      <c r="O330" s="42"/>
      <c r="P330" s="62"/>
      <c r="Q330" s="62"/>
      <c r="R330" s="5"/>
      <c r="S330" s="5"/>
      <c r="T330" s="3"/>
      <c r="U330" s="3"/>
      <c r="V330" s="3"/>
      <c r="W330" s="3"/>
      <c r="X330" s="61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3"/>
      <c r="AN330" s="43"/>
      <c r="AO330" s="43"/>
      <c r="AP330" s="43"/>
      <c r="AQ330" s="43"/>
      <c r="AR330" s="43"/>
      <c r="AS330" s="43"/>
      <c r="AT330" s="43"/>
      <c r="AU330" s="43"/>
      <c r="AV330" s="43"/>
      <c r="AW330" s="43"/>
      <c r="AX330" s="43"/>
      <c r="AY330" s="43"/>
      <c r="AZ330" s="43"/>
      <c r="BA330" s="43"/>
      <c r="BB330" s="43"/>
      <c r="BC330" s="43"/>
      <c r="BD330" s="43"/>
      <c r="BE330" s="43"/>
      <c r="BF330" s="43"/>
      <c r="BG330" s="43"/>
      <c r="BH330" s="43"/>
      <c r="BI330" s="43"/>
      <c r="BJ330" s="43"/>
      <c r="BK330" s="43"/>
      <c r="BL330" s="43"/>
      <c r="BM330" s="43"/>
      <c r="BN330" s="43"/>
      <c r="BO330" s="43"/>
      <c r="BP330" s="43"/>
      <c r="BQ330" s="43"/>
      <c r="BR330" s="43"/>
      <c r="BS330" s="43"/>
      <c r="BT330" s="43"/>
      <c r="BU330" s="43"/>
      <c r="BV330" s="43"/>
      <c r="BW330" s="43"/>
    </row>
    <row r="331" spans="1:75" s="36" customFormat="1">
      <c r="A331" s="61"/>
      <c r="B331" s="5"/>
      <c r="C331" s="5"/>
      <c r="D331" s="39"/>
      <c r="E331" s="40"/>
      <c r="F331" s="39"/>
      <c r="G331" s="5"/>
      <c r="H331" s="5"/>
      <c r="I331" s="3"/>
      <c r="J331" s="3"/>
      <c r="K331" s="3"/>
      <c r="L331" s="3"/>
      <c r="M331" s="41"/>
      <c r="N331" s="5"/>
      <c r="O331" s="42"/>
      <c r="P331" s="62"/>
      <c r="Q331" s="62"/>
      <c r="R331" s="5"/>
      <c r="S331" s="5"/>
      <c r="T331" s="3"/>
      <c r="U331" s="3"/>
      <c r="V331" s="3"/>
      <c r="W331" s="3"/>
      <c r="X331" s="61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  <c r="AT331" s="43"/>
      <c r="AU331" s="43"/>
      <c r="AV331" s="43"/>
      <c r="AW331" s="43"/>
      <c r="AX331" s="43"/>
      <c r="AY331" s="43"/>
      <c r="AZ331" s="43"/>
      <c r="BA331" s="43"/>
      <c r="BB331" s="43"/>
      <c r="BC331" s="43"/>
      <c r="BD331" s="43"/>
      <c r="BE331" s="43"/>
      <c r="BF331" s="43"/>
      <c r="BG331" s="43"/>
      <c r="BH331" s="43"/>
      <c r="BI331" s="43"/>
      <c r="BJ331" s="43"/>
      <c r="BK331" s="43"/>
      <c r="BL331" s="43"/>
      <c r="BM331" s="43"/>
      <c r="BN331" s="43"/>
      <c r="BO331" s="43"/>
      <c r="BP331" s="43"/>
      <c r="BQ331" s="43"/>
      <c r="BR331" s="43"/>
      <c r="BS331" s="43"/>
      <c r="BT331" s="43"/>
      <c r="BU331" s="43"/>
      <c r="BV331" s="43"/>
      <c r="BW331" s="43"/>
    </row>
    <row r="332" spans="1:75" s="36" customFormat="1">
      <c r="A332" s="61"/>
      <c r="B332" s="5"/>
      <c r="C332" s="5"/>
      <c r="D332" s="39"/>
      <c r="E332" s="40"/>
      <c r="F332" s="39"/>
      <c r="G332" s="5"/>
      <c r="H332" s="5"/>
      <c r="I332" s="3"/>
      <c r="J332" s="3"/>
      <c r="K332" s="3"/>
      <c r="L332" s="3"/>
      <c r="M332" s="41"/>
      <c r="N332" s="5"/>
      <c r="O332" s="42"/>
      <c r="P332" s="62"/>
      <c r="Q332" s="62"/>
      <c r="R332" s="5"/>
      <c r="S332" s="5"/>
      <c r="T332" s="3"/>
      <c r="U332" s="3"/>
      <c r="V332" s="3"/>
      <c r="W332" s="3"/>
      <c r="X332" s="61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  <c r="BG332" s="43"/>
      <c r="BH332" s="43"/>
      <c r="BI332" s="43"/>
      <c r="BJ332" s="43"/>
      <c r="BK332" s="43"/>
      <c r="BL332" s="43"/>
      <c r="BM332" s="43"/>
      <c r="BN332" s="43"/>
      <c r="BO332" s="43"/>
      <c r="BP332" s="43"/>
      <c r="BQ332" s="43"/>
      <c r="BR332" s="43"/>
      <c r="BS332" s="43"/>
      <c r="BT332" s="43"/>
      <c r="BU332" s="43"/>
      <c r="BV332" s="43"/>
      <c r="BW332" s="43"/>
    </row>
    <row r="333" spans="1:75" s="36" customFormat="1">
      <c r="A333" s="61"/>
      <c r="B333" s="5"/>
      <c r="C333" s="5"/>
      <c r="D333" s="39"/>
      <c r="E333" s="40"/>
      <c r="F333" s="39"/>
      <c r="G333" s="5"/>
      <c r="H333" s="5"/>
      <c r="I333" s="3"/>
      <c r="J333" s="3"/>
      <c r="K333" s="3"/>
      <c r="L333" s="3"/>
      <c r="M333" s="41"/>
      <c r="N333" s="5"/>
      <c r="O333" s="42"/>
      <c r="P333" s="62"/>
      <c r="Q333" s="62"/>
      <c r="R333" s="5"/>
      <c r="S333" s="5"/>
      <c r="T333" s="3"/>
      <c r="U333" s="3"/>
      <c r="V333" s="3"/>
      <c r="W333" s="3"/>
      <c r="X333" s="61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  <c r="BI333" s="43"/>
      <c r="BJ333" s="43"/>
      <c r="BK333" s="43"/>
      <c r="BL333" s="43"/>
      <c r="BM333" s="43"/>
      <c r="BN333" s="43"/>
      <c r="BO333" s="43"/>
      <c r="BP333" s="43"/>
      <c r="BQ333" s="43"/>
      <c r="BR333" s="43"/>
      <c r="BS333" s="43"/>
      <c r="BT333" s="43"/>
      <c r="BU333" s="43"/>
      <c r="BV333" s="43"/>
      <c r="BW333" s="43"/>
    </row>
    <row r="334" spans="1:75" s="36" customFormat="1">
      <c r="A334" s="61"/>
      <c r="B334" s="5"/>
      <c r="C334" s="5"/>
      <c r="D334" s="39"/>
      <c r="E334" s="40"/>
      <c r="F334" s="39"/>
      <c r="G334" s="5"/>
      <c r="H334" s="5"/>
      <c r="I334" s="3"/>
      <c r="J334" s="3"/>
      <c r="K334" s="3"/>
      <c r="L334" s="3"/>
      <c r="M334" s="41"/>
      <c r="N334" s="5"/>
      <c r="O334" s="42"/>
      <c r="P334" s="62"/>
      <c r="Q334" s="62"/>
      <c r="R334" s="5"/>
      <c r="S334" s="5"/>
      <c r="T334" s="3"/>
      <c r="U334" s="3"/>
      <c r="V334" s="3"/>
      <c r="W334" s="3"/>
      <c r="X334" s="61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  <c r="BB334" s="43"/>
      <c r="BC334" s="43"/>
      <c r="BD334" s="43"/>
      <c r="BE334" s="43"/>
      <c r="BF334" s="43"/>
      <c r="BG334" s="43"/>
      <c r="BH334" s="43"/>
      <c r="BI334" s="43"/>
      <c r="BJ334" s="43"/>
      <c r="BK334" s="43"/>
      <c r="BL334" s="43"/>
      <c r="BM334" s="43"/>
      <c r="BN334" s="43"/>
      <c r="BO334" s="43"/>
      <c r="BP334" s="43"/>
      <c r="BQ334" s="43"/>
      <c r="BR334" s="43"/>
      <c r="BS334" s="43"/>
      <c r="BT334" s="43"/>
      <c r="BU334" s="43"/>
      <c r="BV334" s="43"/>
      <c r="BW334" s="43"/>
    </row>
    <row r="335" spans="1:75" s="36" customFormat="1">
      <c r="A335" s="61"/>
      <c r="B335" s="5"/>
      <c r="C335" s="5"/>
      <c r="D335" s="39"/>
      <c r="E335" s="40"/>
      <c r="F335" s="39"/>
      <c r="G335" s="5"/>
      <c r="H335" s="5"/>
      <c r="I335" s="3"/>
      <c r="J335" s="3"/>
      <c r="K335" s="3"/>
      <c r="L335" s="3"/>
      <c r="M335" s="41"/>
      <c r="N335" s="5"/>
      <c r="O335" s="42"/>
      <c r="P335" s="62"/>
      <c r="Q335" s="62"/>
      <c r="R335" s="5"/>
      <c r="S335" s="5"/>
      <c r="T335" s="3"/>
      <c r="U335" s="3"/>
      <c r="V335" s="3"/>
      <c r="W335" s="3"/>
      <c r="X335" s="61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  <c r="AT335" s="43"/>
      <c r="AU335" s="43"/>
      <c r="AV335" s="43"/>
      <c r="AW335" s="43"/>
      <c r="AX335" s="43"/>
      <c r="AY335" s="43"/>
      <c r="AZ335" s="43"/>
      <c r="BA335" s="43"/>
      <c r="BB335" s="43"/>
      <c r="BC335" s="43"/>
      <c r="BD335" s="43"/>
      <c r="BE335" s="43"/>
      <c r="BF335" s="43"/>
      <c r="BG335" s="43"/>
      <c r="BH335" s="43"/>
      <c r="BI335" s="43"/>
      <c r="BJ335" s="43"/>
      <c r="BK335" s="43"/>
      <c r="BL335" s="43"/>
      <c r="BM335" s="43"/>
      <c r="BN335" s="43"/>
      <c r="BO335" s="43"/>
      <c r="BP335" s="43"/>
      <c r="BQ335" s="43"/>
      <c r="BR335" s="43"/>
      <c r="BS335" s="43"/>
      <c r="BT335" s="43"/>
      <c r="BU335" s="43"/>
      <c r="BV335" s="43"/>
      <c r="BW335" s="43"/>
    </row>
    <row r="336" spans="1:75" s="36" customFormat="1">
      <c r="A336" s="61"/>
      <c r="B336" s="5"/>
      <c r="C336" s="5"/>
      <c r="D336" s="39"/>
      <c r="E336" s="40"/>
      <c r="F336" s="39"/>
      <c r="G336" s="5"/>
      <c r="H336" s="5"/>
      <c r="I336" s="3"/>
      <c r="J336" s="3"/>
      <c r="K336" s="3"/>
      <c r="L336" s="3"/>
      <c r="M336" s="41"/>
      <c r="N336" s="5"/>
      <c r="O336" s="42"/>
      <c r="P336" s="62"/>
      <c r="Q336" s="62"/>
      <c r="R336" s="5"/>
      <c r="S336" s="5"/>
      <c r="T336" s="3"/>
      <c r="U336" s="3"/>
      <c r="V336" s="3"/>
      <c r="W336" s="3"/>
      <c r="X336" s="61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  <c r="AT336" s="43"/>
      <c r="AU336" s="43"/>
      <c r="AV336" s="43"/>
      <c r="AW336" s="43"/>
      <c r="AX336" s="43"/>
      <c r="AY336" s="43"/>
      <c r="AZ336" s="43"/>
      <c r="BA336" s="43"/>
      <c r="BB336" s="43"/>
      <c r="BC336" s="43"/>
      <c r="BD336" s="43"/>
      <c r="BE336" s="43"/>
      <c r="BF336" s="43"/>
      <c r="BG336" s="43"/>
      <c r="BH336" s="43"/>
      <c r="BI336" s="43"/>
      <c r="BJ336" s="43"/>
      <c r="BK336" s="43"/>
      <c r="BL336" s="43"/>
      <c r="BM336" s="43"/>
      <c r="BN336" s="43"/>
      <c r="BO336" s="43"/>
      <c r="BP336" s="43"/>
      <c r="BQ336" s="43"/>
      <c r="BR336" s="43"/>
      <c r="BS336" s="43"/>
      <c r="BT336" s="43"/>
      <c r="BU336" s="43"/>
      <c r="BV336" s="43"/>
      <c r="BW336" s="43"/>
    </row>
    <row r="337" spans="1:75" s="36" customFormat="1">
      <c r="A337" s="61"/>
      <c r="B337" s="5"/>
      <c r="C337" s="5"/>
      <c r="D337" s="39"/>
      <c r="E337" s="40"/>
      <c r="F337" s="39"/>
      <c r="G337" s="5"/>
      <c r="H337" s="5"/>
      <c r="I337" s="3"/>
      <c r="J337" s="3"/>
      <c r="K337" s="3"/>
      <c r="L337" s="3"/>
      <c r="M337" s="41"/>
      <c r="N337" s="5"/>
      <c r="O337" s="42"/>
      <c r="P337" s="62"/>
      <c r="Q337" s="62"/>
      <c r="R337" s="5"/>
      <c r="S337" s="5"/>
      <c r="T337" s="3"/>
      <c r="U337" s="3"/>
      <c r="V337" s="3"/>
      <c r="W337" s="3"/>
      <c r="X337" s="61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43"/>
      <c r="AW337" s="43"/>
      <c r="AX337" s="43"/>
      <c r="AY337" s="43"/>
      <c r="AZ337" s="43"/>
      <c r="BA337" s="43"/>
      <c r="BB337" s="43"/>
      <c r="BC337" s="43"/>
      <c r="BD337" s="43"/>
      <c r="BE337" s="43"/>
      <c r="BF337" s="43"/>
      <c r="BG337" s="43"/>
      <c r="BH337" s="43"/>
      <c r="BI337" s="43"/>
      <c r="BJ337" s="43"/>
      <c r="BK337" s="43"/>
      <c r="BL337" s="43"/>
      <c r="BM337" s="43"/>
      <c r="BN337" s="43"/>
      <c r="BO337" s="43"/>
      <c r="BP337" s="43"/>
      <c r="BQ337" s="43"/>
      <c r="BR337" s="43"/>
      <c r="BS337" s="43"/>
      <c r="BT337" s="43"/>
      <c r="BU337" s="43"/>
      <c r="BV337" s="43"/>
      <c r="BW337" s="43"/>
    </row>
    <row r="338" spans="1:75" s="36" customFormat="1">
      <c r="A338" s="61"/>
      <c r="B338" s="5"/>
      <c r="C338" s="5"/>
      <c r="D338" s="39"/>
      <c r="E338" s="40"/>
      <c r="F338" s="39"/>
      <c r="G338" s="5"/>
      <c r="H338" s="5"/>
      <c r="I338" s="3"/>
      <c r="J338" s="3"/>
      <c r="K338" s="3"/>
      <c r="L338" s="3"/>
      <c r="M338" s="41"/>
      <c r="N338" s="5"/>
      <c r="O338" s="42"/>
      <c r="P338" s="62"/>
      <c r="Q338" s="62"/>
      <c r="R338" s="5"/>
      <c r="S338" s="5"/>
      <c r="T338" s="3"/>
      <c r="U338" s="3"/>
      <c r="V338" s="3"/>
      <c r="W338" s="3"/>
      <c r="X338" s="61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  <c r="AT338" s="43"/>
      <c r="AU338" s="43"/>
      <c r="AV338" s="43"/>
      <c r="AW338" s="43"/>
      <c r="AX338" s="43"/>
      <c r="AY338" s="43"/>
      <c r="AZ338" s="43"/>
      <c r="BA338" s="43"/>
      <c r="BB338" s="43"/>
      <c r="BC338" s="43"/>
      <c r="BD338" s="43"/>
      <c r="BE338" s="43"/>
      <c r="BF338" s="43"/>
      <c r="BG338" s="43"/>
      <c r="BH338" s="43"/>
      <c r="BI338" s="43"/>
      <c r="BJ338" s="43"/>
      <c r="BK338" s="43"/>
      <c r="BL338" s="43"/>
      <c r="BM338" s="43"/>
      <c r="BN338" s="43"/>
      <c r="BO338" s="43"/>
      <c r="BP338" s="43"/>
      <c r="BQ338" s="43"/>
      <c r="BR338" s="43"/>
      <c r="BS338" s="43"/>
      <c r="BT338" s="43"/>
      <c r="BU338" s="43"/>
      <c r="BV338" s="43"/>
      <c r="BW338" s="43"/>
    </row>
    <row r="339" spans="1:75" s="36" customFormat="1">
      <c r="A339" s="61"/>
      <c r="B339" s="5"/>
      <c r="C339" s="5"/>
      <c r="D339" s="39"/>
      <c r="E339" s="40"/>
      <c r="F339" s="39"/>
      <c r="G339" s="5"/>
      <c r="H339" s="5"/>
      <c r="I339" s="3"/>
      <c r="J339" s="3"/>
      <c r="K339" s="3"/>
      <c r="L339" s="3"/>
      <c r="M339" s="41"/>
      <c r="N339" s="5"/>
      <c r="O339" s="42"/>
      <c r="P339" s="62"/>
      <c r="Q339" s="62"/>
      <c r="R339" s="5"/>
      <c r="S339" s="5"/>
      <c r="T339" s="3"/>
      <c r="U339" s="3"/>
      <c r="V339" s="3"/>
      <c r="W339" s="3"/>
      <c r="X339" s="61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  <c r="AT339" s="43"/>
      <c r="AU339" s="43"/>
      <c r="AV339" s="43"/>
      <c r="AW339" s="43"/>
      <c r="AX339" s="43"/>
      <c r="AY339" s="43"/>
      <c r="AZ339" s="43"/>
      <c r="BA339" s="43"/>
      <c r="BB339" s="43"/>
      <c r="BC339" s="43"/>
      <c r="BD339" s="43"/>
      <c r="BE339" s="43"/>
      <c r="BF339" s="43"/>
      <c r="BG339" s="43"/>
      <c r="BH339" s="43"/>
      <c r="BI339" s="43"/>
      <c r="BJ339" s="43"/>
      <c r="BK339" s="43"/>
      <c r="BL339" s="43"/>
      <c r="BM339" s="43"/>
      <c r="BN339" s="43"/>
      <c r="BO339" s="43"/>
      <c r="BP339" s="43"/>
      <c r="BQ339" s="43"/>
      <c r="BR339" s="43"/>
      <c r="BS339" s="43"/>
      <c r="BT339" s="43"/>
      <c r="BU339" s="43"/>
      <c r="BV339" s="43"/>
      <c r="BW339" s="43"/>
    </row>
    <row r="340" spans="1:75" s="36" customFormat="1">
      <c r="A340" s="61"/>
      <c r="B340" s="5"/>
      <c r="C340" s="5"/>
      <c r="D340" s="39"/>
      <c r="E340" s="40"/>
      <c r="F340" s="39"/>
      <c r="G340" s="5"/>
      <c r="H340" s="5"/>
      <c r="I340" s="3"/>
      <c r="J340" s="3"/>
      <c r="K340" s="3"/>
      <c r="L340" s="3"/>
      <c r="M340" s="41"/>
      <c r="N340" s="5"/>
      <c r="O340" s="42"/>
      <c r="P340" s="62"/>
      <c r="Q340" s="62"/>
      <c r="R340" s="5"/>
      <c r="S340" s="5"/>
      <c r="T340" s="3"/>
      <c r="U340" s="3"/>
      <c r="V340" s="3"/>
      <c r="W340" s="3"/>
      <c r="X340" s="61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  <c r="AT340" s="43"/>
      <c r="AU340" s="43"/>
      <c r="AV340" s="43"/>
      <c r="AW340" s="43"/>
      <c r="AX340" s="43"/>
      <c r="AY340" s="43"/>
      <c r="AZ340" s="43"/>
      <c r="BA340" s="43"/>
      <c r="BB340" s="43"/>
      <c r="BC340" s="43"/>
      <c r="BD340" s="43"/>
      <c r="BE340" s="43"/>
      <c r="BF340" s="43"/>
      <c r="BG340" s="43"/>
      <c r="BH340" s="43"/>
      <c r="BI340" s="43"/>
      <c r="BJ340" s="43"/>
      <c r="BK340" s="43"/>
      <c r="BL340" s="43"/>
      <c r="BM340" s="43"/>
      <c r="BN340" s="43"/>
      <c r="BO340" s="43"/>
      <c r="BP340" s="43"/>
      <c r="BQ340" s="43"/>
      <c r="BR340" s="43"/>
      <c r="BS340" s="43"/>
      <c r="BT340" s="43"/>
      <c r="BU340" s="43"/>
      <c r="BV340" s="43"/>
      <c r="BW340" s="43"/>
    </row>
    <row r="341" spans="1:75" s="36" customFormat="1">
      <c r="A341" s="61"/>
      <c r="B341" s="5"/>
      <c r="C341" s="5"/>
      <c r="D341" s="39"/>
      <c r="E341" s="40"/>
      <c r="F341" s="39"/>
      <c r="G341" s="5"/>
      <c r="H341" s="5"/>
      <c r="I341" s="3"/>
      <c r="J341" s="3"/>
      <c r="K341" s="3"/>
      <c r="L341" s="3"/>
      <c r="M341" s="41"/>
      <c r="N341" s="5"/>
      <c r="O341" s="42"/>
      <c r="P341" s="62"/>
      <c r="Q341" s="62"/>
      <c r="R341" s="5"/>
      <c r="S341" s="5"/>
      <c r="T341" s="3"/>
      <c r="U341" s="3"/>
      <c r="V341" s="3"/>
      <c r="W341" s="3"/>
      <c r="X341" s="61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  <c r="AT341" s="43"/>
      <c r="AU341" s="43"/>
      <c r="AV341" s="43"/>
      <c r="AW341" s="43"/>
      <c r="AX341" s="43"/>
      <c r="AY341" s="43"/>
      <c r="AZ341" s="43"/>
      <c r="BA341" s="43"/>
      <c r="BB341" s="43"/>
      <c r="BC341" s="43"/>
      <c r="BD341" s="43"/>
      <c r="BE341" s="43"/>
      <c r="BF341" s="43"/>
      <c r="BG341" s="43"/>
      <c r="BH341" s="43"/>
      <c r="BI341" s="43"/>
      <c r="BJ341" s="43"/>
      <c r="BK341" s="43"/>
      <c r="BL341" s="43"/>
      <c r="BM341" s="43"/>
      <c r="BN341" s="43"/>
      <c r="BO341" s="43"/>
      <c r="BP341" s="43"/>
      <c r="BQ341" s="43"/>
      <c r="BR341" s="43"/>
      <c r="BS341" s="43"/>
      <c r="BT341" s="43"/>
      <c r="BU341" s="43"/>
      <c r="BV341" s="43"/>
      <c r="BW341" s="43"/>
    </row>
    <row r="342" spans="1:75" s="36" customFormat="1">
      <c r="A342" s="61"/>
      <c r="B342" s="5"/>
      <c r="C342" s="5"/>
      <c r="D342" s="39"/>
      <c r="E342" s="40"/>
      <c r="F342" s="39"/>
      <c r="G342" s="5"/>
      <c r="H342" s="5"/>
      <c r="I342" s="3"/>
      <c r="J342" s="3"/>
      <c r="K342" s="3"/>
      <c r="L342" s="3"/>
      <c r="M342" s="41"/>
      <c r="N342" s="5"/>
      <c r="O342" s="42"/>
      <c r="P342" s="62"/>
      <c r="Q342" s="62"/>
      <c r="R342" s="5"/>
      <c r="S342" s="5"/>
      <c r="T342" s="3"/>
      <c r="U342" s="3"/>
      <c r="V342" s="3"/>
      <c r="W342" s="3"/>
      <c r="X342" s="61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  <c r="AT342" s="43"/>
      <c r="AU342" s="43"/>
      <c r="AV342" s="43"/>
      <c r="AW342" s="43"/>
      <c r="AX342" s="43"/>
      <c r="AY342" s="43"/>
      <c r="AZ342" s="43"/>
      <c r="BA342" s="43"/>
      <c r="BB342" s="43"/>
      <c r="BC342" s="43"/>
      <c r="BD342" s="43"/>
      <c r="BE342" s="43"/>
      <c r="BF342" s="43"/>
      <c r="BG342" s="43"/>
      <c r="BH342" s="43"/>
      <c r="BI342" s="43"/>
      <c r="BJ342" s="43"/>
      <c r="BK342" s="43"/>
      <c r="BL342" s="43"/>
      <c r="BM342" s="43"/>
      <c r="BN342" s="43"/>
      <c r="BO342" s="43"/>
      <c r="BP342" s="43"/>
      <c r="BQ342" s="43"/>
      <c r="BR342" s="43"/>
      <c r="BS342" s="43"/>
      <c r="BT342" s="43"/>
      <c r="BU342" s="43"/>
      <c r="BV342" s="43"/>
      <c r="BW342" s="43"/>
    </row>
    <row r="343" spans="1:75" s="36" customFormat="1">
      <c r="A343" s="61"/>
      <c r="B343" s="5"/>
      <c r="C343" s="5"/>
      <c r="D343" s="39"/>
      <c r="E343" s="40"/>
      <c r="F343" s="39"/>
      <c r="G343" s="5"/>
      <c r="H343" s="5"/>
      <c r="I343" s="3"/>
      <c r="J343" s="3"/>
      <c r="K343" s="3"/>
      <c r="L343" s="3"/>
      <c r="M343" s="41"/>
      <c r="N343" s="5"/>
      <c r="O343" s="42"/>
      <c r="P343" s="62"/>
      <c r="Q343" s="62"/>
      <c r="R343" s="5"/>
      <c r="S343" s="5"/>
      <c r="T343" s="3"/>
      <c r="U343" s="3"/>
      <c r="V343" s="3"/>
      <c r="W343" s="3"/>
      <c r="X343" s="61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  <c r="AT343" s="43"/>
      <c r="AU343" s="43"/>
      <c r="AV343" s="43"/>
      <c r="AW343" s="43"/>
      <c r="AX343" s="43"/>
      <c r="AY343" s="43"/>
      <c r="AZ343" s="43"/>
      <c r="BA343" s="43"/>
      <c r="BB343" s="43"/>
      <c r="BC343" s="43"/>
      <c r="BD343" s="43"/>
      <c r="BE343" s="43"/>
      <c r="BF343" s="43"/>
      <c r="BG343" s="43"/>
      <c r="BH343" s="43"/>
      <c r="BI343" s="43"/>
      <c r="BJ343" s="43"/>
      <c r="BK343" s="43"/>
      <c r="BL343" s="43"/>
      <c r="BM343" s="43"/>
      <c r="BN343" s="43"/>
      <c r="BO343" s="43"/>
      <c r="BP343" s="43"/>
      <c r="BQ343" s="43"/>
      <c r="BR343" s="43"/>
      <c r="BS343" s="43"/>
      <c r="BT343" s="43"/>
      <c r="BU343" s="43"/>
      <c r="BV343" s="43"/>
      <c r="BW343" s="43"/>
    </row>
    <row r="344" spans="1:75" s="36" customFormat="1">
      <c r="A344" s="61"/>
      <c r="B344" s="5"/>
      <c r="C344" s="5"/>
      <c r="D344" s="39"/>
      <c r="E344" s="40"/>
      <c r="F344" s="39"/>
      <c r="G344" s="5"/>
      <c r="H344" s="5"/>
      <c r="I344" s="3"/>
      <c r="J344" s="3"/>
      <c r="K344" s="3"/>
      <c r="L344" s="3"/>
      <c r="M344" s="41"/>
      <c r="N344" s="5"/>
      <c r="O344" s="42"/>
      <c r="P344" s="62"/>
      <c r="Q344" s="62"/>
      <c r="R344" s="5"/>
      <c r="S344" s="5"/>
      <c r="T344" s="3"/>
      <c r="U344" s="3"/>
      <c r="V344" s="3"/>
      <c r="W344" s="3"/>
      <c r="X344" s="61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  <c r="AT344" s="43"/>
      <c r="AU344" s="43"/>
      <c r="AV344" s="43"/>
      <c r="AW344" s="43"/>
      <c r="AX344" s="43"/>
      <c r="AY344" s="43"/>
      <c r="AZ344" s="43"/>
      <c r="BA344" s="43"/>
      <c r="BB344" s="43"/>
      <c r="BC344" s="43"/>
      <c r="BD344" s="43"/>
      <c r="BE344" s="43"/>
      <c r="BF344" s="43"/>
      <c r="BG344" s="43"/>
      <c r="BH344" s="43"/>
      <c r="BI344" s="43"/>
      <c r="BJ344" s="43"/>
      <c r="BK344" s="43"/>
      <c r="BL344" s="43"/>
      <c r="BM344" s="43"/>
      <c r="BN344" s="43"/>
      <c r="BO344" s="43"/>
      <c r="BP344" s="43"/>
      <c r="BQ344" s="43"/>
      <c r="BR344" s="43"/>
      <c r="BS344" s="43"/>
      <c r="BT344" s="43"/>
      <c r="BU344" s="43"/>
      <c r="BV344" s="43"/>
      <c r="BW344" s="43"/>
    </row>
    <row r="345" spans="1:75" s="36" customFormat="1">
      <c r="A345" s="61"/>
      <c r="B345" s="5"/>
      <c r="C345" s="5"/>
      <c r="D345" s="39"/>
      <c r="E345" s="40"/>
      <c r="F345" s="39"/>
      <c r="G345" s="5"/>
      <c r="H345" s="5"/>
      <c r="I345" s="3"/>
      <c r="J345" s="3"/>
      <c r="K345" s="3"/>
      <c r="L345" s="3"/>
      <c r="M345" s="41"/>
      <c r="N345" s="5"/>
      <c r="O345" s="42"/>
      <c r="P345" s="62"/>
      <c r="Q345" s="62"/>
      <c r="R345" s="5"/>
      <c r="S345" s="5"/>
      <c r="T345" s="3"/>
      <c r="U345" s="3"/>
      <c r="V345" s="3"/>
      <c r="W345" s="3"/>
      <c r="X345" s="61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  <c r="AT345" s="43"/>
      <c r="AU345" s="43"/>
      <c r="AV345" s="43"/>
      <c r="AW345" s="43"/>
      <c r="AX345" s="43"/>
      <c r="AY345" s="43"/>
      <c r="AZ345" s="43"/>
      <c r="BA345" s="43"/>
      <c r="BB345" s="43"/>
      <c r="BC345" s="43"/>
      <c r="BD345" s="43"/>
      <c r="BE345" s="43"/>
      <c r="BF345" s="43"/>
      <c r="BG345" s="43"/>
      <c r="BH345" s="43"/>
      <c r="BI345" s="43"/>
      <c r="BJ345" s="43"/>
      <c r="BK345" s="43"/>
      <c r="BL345" s="43"/>
      <c r="BM345" s="43"/>
      <c r="BN345" s="43"/>
      <c r="BO345" s="43"/>
      <c r="BP345" s="43"/>
      <c r="BQ345" s="43"/>
      <c r="BR345" s="43"/>
      <c r="BS345" s="43"/>
      <c r="BT345" s="43"/>
      <c r="BU345" s="43"/>
      <c r="BV345" s="43"/>
      <c r="BW345" s="43"/>
    </row>
    <row r="346" spans="1:75" s="36" customFormat="1">
      <c r="A346" s="61"/>
      <c r="B346" s="5"/>
      <c r="C346" s="5"/>
      <c r="D346" s="39"/>
      <c r="E346" s="40"/>
      <c r="F346" s="39"/>
      <c r="G346" s="5"/>
      <c r="H346" s="5"/>
      <c r="I346" s="3"/>
      <c r="J346" s="3"/>
      <c r="K346" s="3"/>
      <c r="L346" s="3"/>
      <c r="M346" s="41"/>
      <c r="N346" s="5"/>
      <c r="O346" s="42"/>
      <c r="P346" s="62"/>
      <c r="Q346" s="62"/>
      <c r="R346" s="5"/>
      <c r="S346" s="5"/>
      <c r="T346" s="3"/>
      <c r="U346" s="3"/>
      <c r="V346" s="3"/>
      <c r="W346" s="3"/>
      <c r="X346" s="61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  <c r="AT346" s="43"/>
      <c r="AU346" s="43"/>
      <c r="AV346" s="43"/>
      <c r="AW346" s="43"/>
      <c r="AX346" s="43"/>
      <c r="AY346" s="43"/>
      <c r="AZ346" s="43"/>
      <c r="BA346" s="43"/>
      <c r="BB346" s="43"/>
      <c r="BC346" s="43"/>
      <c r="BD346" s="43"/>
      <c r="BE346" s="43"/>
      <c r="BF346" s="43"/>
      <c r="BG346" s="43"/>
      <c r="BH346" s="43"/>
      <c r="BI346" s="43"/>
      <c r="BJ346" s="43"/>
      <c r="BK346" s="43"/>
      <c r="BL346" s="43"/>
      <c r="BM346" s="43"/>
      <c r="BN346" s="43"/>
      <c r="BO346" s="43"/>
      <c r="BP346" s="43"/>
      <c r="BQ346" s="43"/>
      <c r="BR346" s="43"/>
      <c r="BS346" s="43"/>
      <c r="BT346" s="43"/>
      <c r="BU346" s="43"/>
      <c r="BV346" s="43"/>
      <c r="BW346" s="43"/>
    </row>
    <row r="347" spans="1:75" s="36" customFormat="1">
      <c r="A347" s="61"/>
      <c r="B347" s="5"/>
      <c r="C347" s="5"/>
      <c r="D347" s="39"/>
      <c r="E347" s="40"/>
      <c r="F347" s="39"/>
      <c r="G347" s="5"/>
      <c r="H347" s="5"/>
      <c r="I347" s="3"/>
      <c r="J347" s="3"/>
      <c r="K347" s="3"/>
      <c r="L347" s="3"/>
      <c r="M347" s="41"/>
      <c r="N347" s="5"/>
      <c r="O347" s="42"/>
      <c r="P347" s="62"/>
      <c r="Q347" s="62"/>
      <c r="R347" s="5"/>
      <c r="S347" s="5"/>
      <c r="T347" s="3"/>
      <c r="U347" s="3"/>
      <c r="V347" s="3"/>
      <c r="W347" s="3"/>
      <c r="X347" s="61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  <c r="AT347" s="43"/>
      <c r="AU347" s="43"/>
      <c r="AV347" s="43"/>
      <c r="AW347" s="43"/>
      <c r="AX347" s="43"/>
      <c r="AY347" s="43"/>
      <c r="AZ347" s="43"/>
      <c r="BA347" s="43"/>
      <c r="BB347" s="43"/>
      <c r="BC347" s="43"/>
      <c r="BD347" s="43"/>
      <c r="BE347" s="43"/>
      <c r="BF347" s="43"/>
      <c r="BG347" s="43"/>
      <c r="BH347" s="43"/>
      <c r="BI347" s="43"/>
      <c r="BJ347" s="43"/>
      <c r="BK347" s="43"/>
      <c r="BL347" s="43"/>
      <c r="BM347" s="43"/>
      <c r="BN347" s="43"/>
      <c r="BO347" s="43"/>
      <c r="BP347" s="43"/>
      <c r="BQ347" s="43"/>
      <c r="BR347" s="43"/>
      <c r="BS347" s="43"/>
      <c r="BT347" s="43"/>
      <c r="BU347" s="43"/>
      <c r="BV347" s="43"/>
      <c r="BW347" s="43"/>
    </row>
    <row r="348" spans="1:75" s="36" customFormat="1">
      <c r="A348" s="61"/>
      <c r="B348" s="5"/>
      <c r="C348" s="5"/>
      <c r="D348" s="39"/>
      <c r="E348" s="40"/>
      <c r="F348" s="39"/>
      <c r="G348" s="5"/>
      <c r="H348" s="5"/>
      <c r="I348" s="3"/>
      <c r="J348" s="3"/>
      <c r="K348" s="3"/>
      <c r="L348" s="3"/>
      <c r="M348" s="41"/>
      <c r="N348" s="5"/>
      <c r="O348" s="42"/>
      <c r="P348" s="62"/>
      <c r="Q348" s="62"/>
      <c r="R348" s="5"/>
      <c r="S348" s="5"/>
      <c r="T348" s="3"/>
      <c r="U348" s="3"/>
      <c r="V348" s="3"/>
      <c r="W348" s="3"/>
      <c r="X348" s="61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  <c r="AT348" s="43"/>
      <c r="AU348" s="43"/>
      <c r="AV348" s="43"/>
      <c r="AW348" s="43"/>
      <c r="AX348" s="43"/>
      <c r="AY348" s="43"/>
      <c r="AZ348" s="43"/>
      <c r="BA348" s="43"/>
      <c r="BB348" s="43"/>
      <c r="BC348" s="43"/>
      <c r="BD348" s="43"/>
      <c r="BE348" s="43"/>
      <c r="BF348" s="43"/>
      <c r="BG348" s="43"/>
      <c r="BH348" s="43"/>
      <c r="BI348" s="43"/>
      <c r="BJ348" s="43"/>
      <c r="BK348" s="43"/>
      <c r="BL348" s="43"/>
      <c r="BM348" s="43"/>
      <c r="BN348" s="43"/>
      <c r="BO348" s="43"/>
      <c r="BP348" s="43"/>
      <c r="BQ348" s="43"/>
      <c r="BR348" s="43"/>
      <c r="BS348" s="43"/>
      <c r="BT348" s="43"/>
      <c r="BU348" s="43"/>
      <c r="BV348" s="43"/>
      <c r="BW348" s="43"/>
    </row>
    <row r="349" spans="1:75" s="36" customFormat="1">
      <c r="A349" s="61"/>
      <c r="B349" s="5"/>
      <c r="C349" s="5"/>
      <c r="D349" s="39"/>
      <c r="E349" s="40"/>
      <c r="F349" s="39"/>
      <c r="G349" s="5"/>
      <c r="H349" s="5"/>
      <c r="I349" s="3"/>
      <c r="J349" s="3"/>
      <c r="K349" s="3"/>
      <c r="L349" s="3"/>
      <c r="M349" s="41"/>
      <c r="N349" s="5"/>
      <c r="O349" s="42"/>
      <c r="P349" s="62"/>
      <c r="Q349" s="62"/>
      <c r="R349" s="5"/>
      <c r="S349" s="5"/>
      <c r="T349" s="3"/>
      <c r="U349" s="3"/>
      <c r="V349" s="3"/>
      <c r="W349" s="3"/>
      <c r="X349" s="61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  <c r="AT349" s="43"/>
      <c r="AU349" s="43"/>
      <c r="AV349" s="43"/>
      <c r="AW349" s="43"/>
      <c r="AX349" s="43"/>
      <c r="AY349" s="43"/>
      <c r="AZ349" s="43"/>
      <c r="BA349" s="43"/>
      <c r="BB349" s="43"/>
      <c r="BC349" s="43"/>
      <c r="BD349" s="43"/>
      <c r="BE349" s="43"/>
      <c r="BF349" s="43"/>
      <c r="BG349" s="43"/>
      <c r="BH349" s="43"/>
      <c r="BI349" s="43"/>
      <c r="BJ349" s="43"/>
      <c r="BK349" s="43"/>
      <c r="BL349" s="43"/>
      <c r="BM349" s="43"/>
      <c r="BN349" s="43"/>
      <c r="BO349" s="43"/>
      <c r="BP349" s="43"/>
      <c r="BQ349" s="43"/>
      <c r="BR349" s="43"/>
      <c r="BS349" s="43"/>
      <c r="BT349" s="43"/>
      <c r="BU349" s="43"/>
      <c r="BV349" s="43"/>
      <c r="BW349" s="43"/>
    </row>
    <row r="350" spans="1:75" s="36" customFormat="1">
      <c r="A350" s="61"/>
      <c r="B350" s="5"/>
      <c r="C350" s="5"/>
      <c r="D350" s="39"/>
      <c r="E350" s="40"/>
      <c r="F350" s="39"/>
      <c r="G350" s="5"/>
      <c r="H350" s="5"/>
      <c r="I350" s="3"/>
      <c r="J350" s="3"/>
      <c r="K350" s="3"/>
      <c r="L350" s="3"/>
      <c r="M350" s="41"/>
      <c r="N350" s="5"/>
      <c r="O350" s="42"/>
      <c r="P350" s="62"/>
      <c r="Q350" s="62"/>
      <c r="R350" s="5"/>
      <c r="S350" s="5"/>
      <c r="T350" s="3"/>
      <c r="U350" s="3"/>
      <c r="V350" s="3"/>
      <c r="W350" s="3"/>
      <c r="X350" s="61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  <c r="AT350" s="43"/>
      <c r="AU350" s="43"/>
      <c r="AV350" s="43"/>
      <c r="AW350" s="43"/>
      <c r="AX350" s="43"/>
      <c r="AY350" s="43"/>
      <c r="AZ350" s="43"/>
      <c r="BA350" s="43"/>
      <c r="BB350" s="43"/>
      <c r="BC350" s="43"/>
      <c r="BD350" s="43"/>
      <c r="BE350" s="43"/>
      <c r="BF350" s="43"/>
      <c r="BG350" s="43"/>
      <c r="BH350" s="43"/>
      <c r="BI350" s="43"/>
      <c r="BJ350" s="43"/>
      <c r="BK350" s="43"/>
      <c r="BL350" s="43"/>
      <c r="BM350" s="43"/>
      <c r="BN350" s="43"/>
      <c r="BO350" s="43"/>
      <c r="BP350" s="43"/>
      <c r="BQ350" s="43"/>
      <c r="BR350" s="43"/>
      <c r="BS350" s="43"/>
      <c r="BT350" s="43"/>
      <c r="BU350" s="43"/>
      <c r="BV350" s="43"/>
      <c r="BW350" s="43"/>
    </row>
    <row r="351" spans="1:75" s="36" customFormat="1">
      <c r="A351" s="61"/>
      <c r="B351" s="5"/>
      <c r="C351" s="5"/>
      <c r="D351" s="39"/>
      <c r="E351" s="40"/>
      <c r="F351" s="39"/>
      <c r="G351" s="5"/>
      <c r="H351" s="5"/>
      <c r="I351" s="3"/>
      <c r="J351" s="3"/>
      <c r="K351" s="3"/>
      <c r="L351" s="3"/>
      <c r="M351" s="41"/>
      <c r="N351" s="5"/>
      <c r="O351" s="42"/>
      <c r="P351" s="62"/>
      <c r="Q351" s="62"/>
      <c r="R351" s="5"/>
      <c r="S351" s="5"/>
      <c r="T351" s="3"/>
      <c r="U351" s="3"/>
      <c r="V351" s="3"/>
      <c r="W351" s="3"/>
      <c r="X351" s="61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  <c r="AT351" s="43"/>
      <c r="AU351" s="43"/>
      <c r="AV351" s="43"/>
      <c r="AW351" s="43"/>
      <c r="AX351" s="43"/>
      <c r="AY351" s="43"/>
      <c r="AZ351" s="43"/>
      <c r="BA351" s="43"/>
      <c r="BB351" s="43"/>
      <c r="BC351" s="43"/>
      <c r="BD351" s="43"/>
      <c r="BE351" s="43"/>
      <c r="BF351" s="43"/>
      <c r="BG351" s="43"/>
      <c r="BH351" s="43"/>
      <c r="BI351" s="43"/>
      <c r="BJ351" s="43"/>
      <c r="BK351" s="43"/>
      <c r="BL351" s="43"/>
      <c r="BM351" s="43"/>
      <c r="BN351" s="43"/>
      <c r="BO351" s="43"/>
      <c r="BP351" s="43"/>
      <c r="BQ351" s="43"/>
      <c r="BR351" s="43"/>
      <c r="BS351" s="43"/>
      <c r="BT351" s="43"/>
      <c r="BU351" s="43"/>
      <c r="BV351" s="43"/>
      <c r="BW351" s="43"/>
    </row>
    <row r="352" spans="1:75" s="36" customFormat="1">
      <c r="A352" s="61"/>
      <c r="B352" s="5"/>
      <c r="C352" s="5"/>
      <c r="D352" s="39"/>
      <c r="E352" s="40"/>
      <c r="F352" s="39"/>
      <c r="G352" s="5"/>
      <c r="H352" s="5"/>
      <c r="I352" s="3"/>
      <c r="J352" s="3"/>
      <c r="K352" s="3"/>
      <c r="L352" s="3"/>
      <c r="M352" s="41"/>
      <c r="N352" s="5"/>
      <c r="O352" s="42"/>
      <c r="P352" s="62"/>
      <c r="Q352" s="62"/>
      <c r="R352" s="5"/>
      <c r="S352" s="5"/>
      <c r="T352" s="3"/>
      <c r="U352" s="3"/>
      <c r="V352" s="3"/>
      <c r="W352" s="3"/>
      <c r="X352" s="61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  <c r="AT352" s="43"/>
      <c r="AU352" s="43"/>
      <c r="AV352" s="43"/>
      <c r="AW352" s="43"/>
      <c r="AX352" s="43"/>
      <c r="AY352" s="43"/>
      <c r="AZ352" s="43"/>
      <c r="BA352" s="43"/>
      <c r="BB352" s="43"/>
      <c r="BC352" s="43"/>
      <c r="BD352" s="43"/>
      <c r="BE352" s="43"/>
      <c r="BF352" s="43"/>
      <c r="BG352" s="43"/>
      <c r="BH352" s="43"/>
      <c r="BI352" s="43"/>
      <c r="BJ352" s="43"/>
      <c r="BK352" s="43"/>
      <c r="BL352" s="43"/>
      <c r="BM352" s="43"/>
      <c r="BN352" s="43"/>
      <c r="BO352" s="43"/>
      <c r="BP352" s="43"/>
      <c r="BQ352" s="43"/>
      <c r="BR352" s="43"/>
      <c r="BS352" s="43"/>
      <c r="BT352" s="43"/>
      <c r="BU352" s="43"/>
      <c r="BV352" s="43"/>
      <c r="BW352" s="43"/>
    </row>
    <row r="353" spans="1:154" s="36" customFormat="1">
      <c r="A353" s="61"/>
      <c r="B353" s="5"/>
      <c r="C353" s="5"/>
      <c r="D353" s="39"/>
      <c r="E353" s="40"/>
      <c r="F353" s="39"/>
      <c r="G353" s="5"/>
      <c r="H353" s="5"/>
      <c r="I353" s="3"/>
      <c r="J353" s="3"/>
      <c r="K353" s="3"/>
      <c r="L353" s="3"/>
      <c r="M353" s="41"/>
      <c r="N353" s="5"/>
      <c r="O353" s="42"/>
      <c r="P353" s="62"/>
      <c r="Q353" s="62"/>
      <c r="R353" s="5"/>
      <c r="S353" s="5"/>
      <c r="T353" s="3"/>
      <c r="U353" s="3"/>
      <c r="V353" s="3"/>
      <c r="W353" s="3"/>
      <c r="X353" s="61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  <c r="AT353" s="43"/>
      <c r="AU353" s="43"/>
      <c r="AV353" s="43"/>
      <c r="AW353" s="43"/>
      <c r="AX353" s="43"/>
      <c r="AY353" s="43"/>
      <c r="AZ353" s="43"/>
      <c r="BA353" s="43"/>
      <c r="BB353" s="43"/>
      <c r="BC353" s="43"/>
      <c r="BD353" s="43"/>
      <c r="BE353" s="43"/>
      <c r="BF353" s="43"/>
      <c r="BG353" s="43"/>
      <c r="BH353" s="43"/>
      <c r="BI353" s="43"/>
      <c r="BJ353" s="43"/>
      <c r="BK353" s="43"/>
      <c r="BL353" s="43"/>
      <c r="BM353" s="43"/>
      <c r="BN353" s="43"/>
      <c r="BO353" s="43"/>
      <c r="BP353" s="43"/>
      <c r="BQ353" s="43"/>
      <c r="BR353" s="43"/>
      <c r="BS353" s="43"/>
      <c r="BT353" s="43"/>
      <c r="BU353" s="43"/>
      <c r="BV353" s="43"/>
      <c r="BW353" s="43"/>
    </row>
    <row r="354" spans="1:154" s="3" customFormat="1">
      <c r="A354" s="61"/>
      <c r="B354" s="5"/>
      <c r="C354" s="5"/>
      <c r="D354" s="39"/>
      <c r="E354" s="40"/>
      <c r="F354" s="4"/>
      <c r="G354" s="5"/>
      <c r="H354" s="44"/>
      <c r="M354" s="41"/>
      <c r="N354" s="5"/>
      <c r="O354" s="42"/>
      <c r="P354" s="62"/>
      <c r="Q354" s="62"/>
      <c r="R354" s="4"/>
      <c r="S354" s="5"/>
      <c r="X354" s="61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  <c r="AT354" s="43"/>
      <c r="AU354" s="43"/>
      <c r="AV354" s="43"/>
      <c r="AW354" s="43"/>
      <c r="AX354" s="43"/>
      <c r="AY354" s="43"/>
      <c r="AZ354" s="43"/>
      <c r="BA354" s="43"/>
      <c r="BB354" s="43"/>
      <c r="BC354" s="43"/>
      <c r="BD354" s="43"/>
      <c r="BE354" s="43"/>
      <c r="BF354" s="43"/>
      <c r="BG354" s="43"/>
      <c r="BH354" s="43"/>
      <c r="BI354" s="43"/>
      <c r="BJ354" s="43"/>
      <c r="BK354" s="43"/>
      <c r="BL354" s="43"/>
      <c r="BM354" s="43"/>
      <c r="BN354" s="43"/>
      <c r="BO354" s="43"/>
      <c r="BP354" s="43"/>
      <c r="BQ354" s="43"/>
      <c r="BR354" s="43"/>
      <c r="BS354" s="43"/>
      <c r="BT354" s="43"/>
      <c r="BU354" s="43"/>
      <c r="BV354" s="43"/>
      <c r="BW354" s="43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</row>
    <row r="355" spans="1:154" s="3" customFormat="1">
      <c r="A355" s="61"/>
      <c r="B355" s="5"/>
      <c r="C355" s="5"/>
      <c r="D355" s="39"/>
      <c r="E355" s="40"/>
      <c r="F355" s="4"/>
      <c r="G355" s="5"/>
      <c r="H355" s="44"/>
      <c r="M355" s="41"/>
      <c r="N355" s="5"/>
      <c r="O355" s="42"/>
      <c r="P355" s="62"/>
      <c r="Q355" s="62"/>
      <c r="R355" s="4"/>
      <c r="S355" s="5"/>
      <c r="X355" s="61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  <c r="AT355" s="43"/>
      <c r="AU355" s="43"/>
      <c r="AV355" s="43"/>
      <c r="AW355" s="43"/>
      <c r="AX355" s="43"/>
      <c r="AY355" s="43"/>
      <c r="AZ355" s="43"/>
      <c r="BA355" s="43"/>
      <c r="BB355" s="43"/>
      <c r="BC355" s="43"/>
      <c r="BD355" s="43"/>
      <c r="BE355" s="43"/>
      <c r="BF355" s="43"/>
      <c r="BG355" s="43"/>
      <c r="BH355" s="43"/>
      <c r="BI355" s="43"/>
      <c r="BJ355" s="43"/>
      <c r="BK355" s="43"/>
      <c r="BL355" s="43"/>
      <c r="BM355" s="43"/>
      <c r="BN355" s="43"/>
      <c r="BO355" s="43"/>
      <c r="BP355" s="43"/>
      <c r="BQ355" s="43"/>
      <c r="BR355" s="43"/>
      <c r="BS355" s="43"/>
      <c r="BT355" s="43"/>
      <c r="BU355" s="43"/>
      <c r="BV355" s="43"/>
      <c r="BW355" s="43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</row>
    <row r="356" spans="1:154" s="3" customFormat="1">
      <c r="A356" s="61"/>
      <c r="B356" s="5"/>
      <c r="C356" s="5"/>
      <c r="D356" s="39"/>
      <c r="E356" s="40"/>
      <c r="F356" s="4"/>
      <c r="G356" s="5"/>
      <c r="H356" s="44"/>
      <c r="M356" s="41"/>
      <c r="N356" s="5"/>
      <c r="O356" s="42"/>
      <c r="P356" s="62"/>
      <c r="Q356" s="62"/>
      <c r="R356" s="4"/>
      <c r="S356" s="5"/>
      <c r="X356" s="61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  <c r="AT356" s="43"/>
      <c r="AU356" s="43"/>
      <c r="AV356" s="43"/>
      <c r="AW356" s="43"/>
      <c r="AX356" s="43"/>
      <c r="AY356" s="43"/>
      <c r="AZ356" s="43"/>
      <c r="BA356" s="43"/>
      <c r="BB356" s="43"/>
      <c r="BC356" s="43"/>
      <c r="BD356" s="43"/>
      <c r="BE356" s="43"/>
      <c r="BF356" s="43"/>
      <c r="BG356" s="43"/>
      <c r="BH356" s="43"/>
      <c r="BI356" s="43"/>
      <c r="BJ356" s="43"/>
      <c r="BK356" s="43"/>
      <c r="BL356" s="43"/>
      <c r="BM356" s="43"/>
      <c r="BN356" s="43"/>
      <c r="BO356" s="43"/>
      <c r="BP356" s="43"/>
      <c r="BQ356" s="43"/>
      <c r="BR356" s="43"/>
      <c r="BS356" s="43"/>
      <c r="BT356" s="43"/>
      <c r="BU356" s="43"/>
      <c r="BV356" s="43"/>
      <c r="BW356" s="43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</row>
    <row r="357" spans="1:154" s="3" customFormat="1">
      <c r="A357" s="61"/>
      <c r="B357" s="5"/>
      <c r="C357" s="5"/>
      <c r="D357" s="39"/>
      <c r="E357" s="40"/>
      <c r="F357" s="4"/>
      <c r="G357" s="5"/>
      <c r="H357" s="44"/>
      <c r="I357" s="5"/>
      <c r="M357" s="41"/>
      <c r="N357" s="5"/>
      <c r="O357" s="42"/>
      <c r="P357" s="62"/>
      <c r="Q357" s="62"/>
      <c r="R357" s="4"/>
      <c r="S357" s="5"/>
      <c r="X357" s="61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  <c r="AT357" s="43"/>
      <c r="AU357" s="43"/>
      <c r="AV357" s="43"/>
      <c r="AW357" s="43"/>
      <c r="AX357" s="43"/>
      <c r="AY357" s="43"/>
      <c r="AZ357" s="43"/>
      <c r="BA357" s="43"/>
      <c r="BB357" s="43"/>
      <c r="BC357" s="43"/>
      <c r="BD357" s="43"/>
      <c r="BE357" s="43"/>
      <c r="BF357" s="43"/>
      <c r="BG357" s="43"/>
      <c r="BH357" s="43"/>
      <c r="BI357" s="43"/>
      <c r="BJ357" s="43"/>
      <c r="BK357" s="43"/>
      <c r="BL357" s="43"/>
      <c r="BM357" s="43"/>
      <c r="BN357" s="43"/>
      <c r="BO357" s="43"/>
      <c r="BP357" s="43"/>
      <c r="BQ357" s="43"/>
      <c r="BR357" s="43"/>
      <c r="BS357" s="43"/>
      <c r="BT357" s="43"/>
      <c r="BU357" s="43"/>
      <c r="BV357" s="43"/>
      <c r="BW357" s="43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</row>
    <row r="358" spans="1:154" s="3" customFormat="1">
      <c r="A358" s="61"/>
      <c r="D358" s="39"/>
      <c r="E358" s="40"/>
      <c r="F358" s="4"/>
      <c r="G358" s="5"/>
      <c r="H358" s="44"/>
      <c r="I358" s="5"/>
      <c r="L358" s="5"/>
      <c r="M358" s="45"/>
      <c r="N358" s="5"/>
      <c r="O358" s="42"/>
      <c r="P358" s="62"/>
      <c r="Q358" s="62"/>
      <c r="R358" s="4"/>
      <c r="S358" s="5"/>
      <c r="X358" s="61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  <c r="AT358" s="43"/>
      <c r="AU358" s="43"/>
      <c r="AV358" s="43"/>
      <c r="AW358" s="43"/>
      <c r="AX358" s="43"/>
      <c r="AY358" s="43"/>
      <c r="AZ358" s="43"/>
      <c r="BA358" s="43"/>
      <c r="BB358" s="43"/>
      <c r="BC358" s="43"/>
      <c r="BD358" s="43"/>
      <c r="BE358" s="43"/>
      <c r="BF358" s="43"/>
      <c r="BG358" s="43"/>
      <c r="BH358" s="43"/>
      <c r="BI358" s="43"/>
      <c r="BJ358" s="43"/>
      <c r="BK358" s="43"/>
      <c r="BL358" s="43"/>
      <c r="BM358" s="43"/>
      <c r="BN358" s="43"/>
      <c r="BO358" s="43"/>
      <c r="BP358" s="43"/>
      <c r="BQ358" s="43"/>
      <c r="BR358" s="43"/>
      <c r="BS358" s="43"/>
      <c r="BT358" s="43"/>
      <c r="BU358" s="43"/>
      <c r="BV358" s="43"/>
      <c r="BW358" s="43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</row>
    <row r="359" spans="1:154" s="3" customFormat="1">
      <c r="A359" s="61"/>
      <c r="D359" s="39"/>
      <c r="E359" s="40"/>
      <c r="F359" s="4"/>
      <c r="G359" s="5"/>
      <c r="H359" s="44"/>
      <c r="I359" s="5"/>
      <c r="L359" s="5"/>
      <c r="M359" s="45"/>
      <c r="N359" s="5"/>
      <c r="O359" s="42"/>
      <c r="P359" s="62"/>
      <c r="Q359" s="62"/>
      <c r="R359" s="4"/>
      <c r="S359" s="5"/>
      <c r="X359" s="61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/>
      <c r="AM359" s="43"/>
      <c r="AN359" s="43"/>
      <c r="AO359" s="43"/>
      <c r="AP359" s="43"/>
      <c r="AQ359" s="43"/>
      <c r="AR359" s="43"/>
      <c r="AS359" s="43"/>
      <c r="AT359" s="43"/>
      <c r="AU359" s="43"/>
      <c r="AV359" s="43"/>
      <c r="AW359" s="43"/>
      <c r="AX359" s="43"/>
      <c r="AY359" s="43"/>
      <c r="AZ359" s="43"/>
      <c r="BA359" s="43"/>
      <c r="BB359" s="43"/>
      <c r="BC359" s="43"/>
      <c r="BD359" s="43"/>
      <c r="BE359" s="43"/>
      <c r="BF359" s="43"/>
      <c r="BG359" s="43"/>
      <c r="BH359" s="43"/>
      <c r="BI359" s="43"/>
      <c r="BJ359" s="43"/>
      <c r="BK359" s="43"/>
      <c r="BL359" s="43"/>
      <c r="BM359" s="43"/>
      <c r="BN359" s="43"/>
      <c r="BO359" s="43"/>
      <c r="BP359" s="43"/>
      <c r="BQ359" s="43"/>
      <c r="BR359" s="43"/>
      <c r="BS359" s="43"/>
      <c r="BT359" s="43"/>
      <c r="BU359" s="43"/>
      <c r="BV359" s="43"/>
      <c r="BW359" s="43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</row>
    <row r="360" spans="1:154" s="3" customFormat="1">
      <c r="A360" s="61"/>
      <c r="D360" s="39"/>
      <c r="E360" s="40"/>
      <c r="F360" s="4"/>
      <c r="G360" s="5"/>
      <c r="H360" s="44"/>
      <c r="I360" s="5"/>
      <c r="L360" s="5"/>
      <c r="M360" s="45"/>
      <c r="N360" s="5"/>
      <c r="O360" s="42"/>
      <c r="P360" s="62"/>
      <c r="Q360" s="62"/>
      <c r="R360" s="4"/>
      <c r="S360" s="5"/>
      <c r="X360" s="61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  <c r="AT360" s="43"/>
      <c r="AU360" s="43"/>
      <c r="AV360" s="43"/>
      <c r="AW360" s="43"/>
      <c r="AX360" s="43"/>
      <c r="AY360" s="43"/>
      <c r="AZ360" s="43"/>
      <c r="BA360" s="43"/>
      <c r="BB360" s="43"/>
      <c r="BC360" s="43"/>
      <c r="BD360" s="43"/>
      <c r="BE360" s="43"/>
      <c r="BF360" s="43"/>
      <c r="BG360" s="43"/>
      <c r="BH360" s="43"/>
      <c r="BI360" s="43"/>
      <c r="BJ360" s="43"/>
      <c r="BK360" s="43"/>
      <c r="BL360" s="43"/>
      <c r="BM360" s="43"/>
      <c r="BN360" s="43"/>
      <c r="BO360" s="43"/>
      <c r="BP360" s="43"/>
      <c r="BQ360" s="43"/>
      <c r="BR360" s="43"/>
      <c r="BS360" s="43"/>
      <c r="BT360" s="43"/>
      <c r="BU360" s="43"/>
      <c r="BV360" s="43"/>
      <c r="BW360" s="43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</row>
    <row r="361" spans="1:154" s="3" customFormat="1">
      <c r="A361" s="61"/>
      <c r="D361" s="39"/>
      <c r="E361" s="40"/>
      <c r="F361" s="4"/>
      <c r="G361" s="5"/>
      <c r="H361" s="44"/>
      <c r="I361" s="5"/>
      <c r="L361" s="5"/>
      <c r="M361" s="45"/>
      <c r="N361" s="5"/>
      <c r="O361" s="42"/>
      <c r="P361" s="62"/>
      <c r="Q361" s="62"/>
      <c r="R361" s="4"/>
      <c r="S361" s="5"/>
      <c r="X361" s="61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/>
      <c r="AM361" s="43"/>
      <c r="AN361" s="43"/>
      <c r="AO361" s="43"/>
      <c r="AP361" s="43"/>
      <c r="AQ361" s="43"/>
      <c r="AR361" s="43"/>
      <c r="AS361" s="43"/>
      <c r="AT361" s="43"/>
      <c r="AU361" s="43"/>
      <c r="AV361" s="43"/>
      <c r="AW361" s="43"/>
      <c r="AX361" s="43"/>
      <c r="AY361" s="43"/>
      <c r="AZ361" s="43"/>
      <c r="BA361" s="43"/>
      <c r="BB361" s="43"/>
      <c r="BC361" s="43"/>
      <c r="BD361" s="43"/>
      <c r="BE361" s="43"/>
      <c r="BF361" s="43"/>
      <c r="BG361" s="43"/>
      <c r="BH361" s="43"/>
      <c r="BI361" s="43"/>
      <c r="BJ361" s="43"/>
      <c r="BK361" s="43"/>
      <c r="BL361" s="43"/>
      <c r="BM361" s="43"/>
      <c r="BN361" s="43"/>
      <c r="BO361" s="43"/>
      <c r="BP361" s="43"/>
      <c r="BQ361" s="43"/>
      <c r="BR361" s="43"/>
      <c r="BS361" s="43"/>
      <c r="BT361" s="43"/>
      <c r="BU361" s="43"/>
      <c r="BV361" s="43"/>
      <c r="BW361" s="43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</row>
    <row r="362" spans="1:154" s="3" customFormat="1">
      <c r="A362" s="61"/>
      <c r="D362" s="39"/>
      <c r="E362" s="40"/>
      <c r="F362" s="4"/>
      <c r="G362" s="5"/>
      <c r="H362" s="44"/>
      <c r="I362" s="5"/>
      <c r="L362" s="5"/>
      <c r="M362" s="45"/>
      <c r="N362" s="5"/>
      <c r="O362" s="42"/>
      <c r="P362" s="62"/>
      <c r="Q362" s="62"/>
      <c r="R362" s="4"/>
      <c r="S362" s="5"/>
      <c r="X362" s="61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  <c r="AT362" s="43"/>
      <c r="AU362" s="43"/>
      <c r="AV362" s="43"/>
      <c r="AW362" s="43"/>
      <c r="AX362" s="43"/>
      <c r="AY362" s="43"/>
      <c r="AZ362" s="43"/>
      <c r="BA362" s="43"/>
      <c r="BB362" s="43"/>
      <c r="BC362" s="43"/>
      <c r="BD362" s="43"/>
      <c r="BE362" s="43"/>
      <c r="BF362" s="43"/>
      <c r="BG362" s="43"/>
      <c r="BH362" s="43"/>
      <c r="BI362" s="43"/>
      <c r="BJ362" s="43"/>
      <c r="BK362" s="43"/>
      <c r="BL362" s="43"/>
      <c r="BM362" s="43"/>
      <c r="BN362" s="43"/>
      <c r="BO362" s="43"/>
      <c r="BP362" s="43"/>
      <c r="BQ362" s="43"/>
      <c r="BR362" s="43"/>
      <c r="BS362" s="43"/>
      <c r="BT362" s="43"/>
      <c r="BU362" s="43"/>
      <c r="BV362" s="43"/>
      <c r="BW362" s="43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</row>
    <row r="363" spans="1:154" s="3" customFormat="1" ht="13.5" customHeight="1">
      <c r="A363" s="61"/>
      <c r="D363" s="39"/>
      <c r="E363" s="40"/>
      <c r="F363" s="4"/>
      <c r="G363" s="5"/>
      <c r="H363" s="44"/>
      <c r="I363" s="5"/>
      <c r="L363" s="5"/>
      <c r="M363" s="45"/>
      <c r="N363" s="5"/>
      <c r="O363" s="42"/>
      <c r="P363" s="62"/>
      <c r="Q363" s="62"/>
      <c r="R363" s="4"/>
      <c r="S363" s="5"/>
      <c r="X363" s="61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  <c r="AT363" s="43"/>
      <c r="AU363" s="43"/>
      <c r="AV363" s="43"/>
      <c r="AW363" s="43"/>
      <c r="AX363" s="43"/>
      <c r="AY363" s="43"/>
      <c r="AZ363" s="43"/>
      <c r="BA363" s="43"/>
      <c r="BB363" s="43"/>
      <c r="BC363" s="43"/>
      <c r="BD363" s="43"/>
      <c r="BE363" s="43"/>
      <c r="BF363" s="43"/>
      <c r="BG363" s="43"/>
      <c r="BH363" s="43"/>
      <c r="BI363" s="43"/>
      <c r="BJ363" s="43"/>
      <c r="BK363" s="43"/>
      <c r="BL363" s="43"/>
      <c r="BM363" s="43"/>
      <c r="BN363" s="43"/>
      <c r="BO363" s="43"/>
      <c r="BP363" s="43"/>
      <c r="BQ363" s="43"/>
      <c r="BR363" s="43"/>
      <c r="BS363" s="43"/>
      <c r="BT363" s="43"/>
      <c r="BU363" s="43"/>
      <c r="BV363" s="43"/>
      <c r="BW363" s="43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</row>
  </sheetData>
  <dataConsolidate/>
  <conditionalFormatting sqref="BW37:BW42 BY5:BY36">
    <cfRule type="containsText" dxfId="6" priority="2" operator="containsText" text="False">
      <formula>NOT(ISERROR(SEARCH("False",BW5)))</formula>
    </cfRule>
  </conditionalFormatting>
  <conditionalFormatting sqref="BW105">
    <cfRule type="containsText" dxfId="5" priority="1" operator="containsText" text="False">
      <formula>NOT(ISERROR(SEARCH("False",BW105)))</formula>
    </cfRule>
  </conditionalFormatting>
  <conditionalFormatting sqref="BY1:BY2 BY43:BY104 BY106:BY353 CC354:CC1048576">
    <cfRule type="containsText" dxfId="4" priority="4" operator="containsText" text="False">
      <formula>NOT(ISERROR(SEARCH("False",BY1)))</formula>
    </cfRule>
  </conditionalFormatting>
  <conditionalFormatting sqref="BY3:BZ4">
    <cfRule type="containsText" dxfId="3" priority="3" operator="containsText" text="False">
      <formula>NOT(ISERROR(SEARCH("False",BY3)))</formula>
    </cfRule>
  </conditionalFormatting>
  <dataValidations count="2">
    <dataValidation type="list" allowBlank="1" showInputMessage="1" showErrorMessage="1" sqref="R125:R353" xr:uid="{80BE15E1-C089-493B-BD9A-572E8419CC84}">
      <formula1>#REF!</formula1>
    </dataValidation>
    <dataValidation type="list" allowBlank="1" showInputMessage="1" showErrorMessage="1" sqref="R5:R124" xr:uid="{AC38CAF6-A49D-48BD-989A-EDD593ABD043}">
      <formula1>#REF!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17B46-5EE9-4D7B-BF8A-32A6B8D9D1D5}">
  <sheetPr>
    <tabColor theme="5" tint="0.59999389629810485"/>
  </sheetPr>
  <dimension ref="A1:EX21"/>
  <sheetViews>
    <sheetView zoomScale="80" zoomScaleNormal="80" workbookViewId="0">
      <pane xSplit="1" ySplit="3" topLeftCell="B4" activePane="bottomRight" state="frozen"/>
      <selection activeCell="H54" sqref="H54"/>
      <selection pane="topRight" activeCell="H54" sqref="H54"/>
      <selection pane="bottomLeft" activeCell="H54" sqref="H54"/>
      <selection pane="bottomRight" activeCell="E17" sqref="E17"/>
    </sheetView>
  </sheetViews>
  <sheetFormatPr defaultColWidth="9" defaultRowHeight="14.4"/>
  <cols>
    <col min="1" max="1" width="35.88671875" style="5" customWidth="1"/>
    <col min="2" max="2" width="15" style="3" customWidth="1"/>
    <col min="3" max="3" width="15.33203125" style="3" customWidth="1"/>
    <col min="4" max="4" width="13.33203125" style="4" bestFit="1" customWidth="1"/>
    <col min="5" max="5" width="20.6640625" style="4" bestFit="1" customWidth="1"/>
    <col min="6" max="6" width="13.88671875" style="4" customWidth="1"/>
    <col min="7" max="7" width="14" style="4" customWidth="1"/>
    <col min="8" max="8" width="17.33203125" style="5" bestFit="1" customWidth="1"/>
    <col min="9" max="9" width="26.109375" style="3" customWidth="1"/>
    <col min="10" max="10" width="27.33203125" bestFit="1" customWidth="1"/>
    <col min="11" max="11" width="33" style="3" bestFit="1" customWidth="1"/>
    <col min="12" max="12" width="24.33203125" hidden="1" customWidth="1"/>
    <col min="13" max="13" width="21.33203125" style="63" hidden="1" customWidth="1"/>
    <col min="14" max="14" width="52.88671875" hidden="1" customWidth="1"/>
    <col min="15" max="15" width="29.33203125" style="7" hidden="1" customWidth="1"/>
    <col min="16" max="16" width="16.88671875" style="8" hidden="1" customWidth="1"/>
    <col min="17" max="17" width="19.6640625" style="8" hidden="1" customWidth="1"/>
    <col min="18" max="18" width="30.88671875" hidden="1" customWidth="1"/>
    <col min="19" max="20" width="9" hidden="1" customWidth="1"/>
    <col min="21" max="21" width="12" style="3" hidden="1" customWidth="1"/>
    <col min="22" max="22" width="22.109375" style="3" hidden="1" customWidth="1"/>
    <col min="23" max="23" width="31.109375" style="3" hidden="1" customWidth="1"/>
    <col min="24" max="24" width="18.33203125" style="64" bestFit="1" customWidth="1"/>
    <col min="25" max="25" width="13.33203125" style="3" customWidth="1"/>
    <col min="26" max="26" width="13.44140625" style="3" customWidth="1"/>
    <col min="27" max="27" width="14.88671875" style="3" customWidth="1"/>
    <col min="28" max="28" width="14.33203125" style="5" customWidth="1"/>
    <col min="29" max="29" width="14.88671875" style="3" customWidth="1"/>
    <col min="30" max="31" width="15.109375" style="3" customWidth="1"/>
    <col min="32" max="32" width="14.44140625" style="3" customWidth="1"/>
    <col min="33" max="33" width="15.109375" style="3" customWidth="1"/>
    <col min="34" max="34" width="15" style="3" customWidth="1"/>
    <col min="35" max="35" width="14.33203125" style="3" customWidth="1"/>
    <col min="36" max="37" width="15.109375" style="3" customWidth="1"/>
    <col min="38" max="38" width="14.88671875" style="3" customWidth="1"/>
    <col min="39" max="39" width="15.33203125" style="3" customWidth="1"/>
    <col min="40" max="40" width="15.109375" style="3" customWidth="1"/>
    <col min="41" max="41" width="14.33203125" style="3" customWidth="1"/>
    <col min="42" max="43" width="14.44140625" style="3" customWidth="1"/>
    <col min="44" max="44" width="14.33203125" style="3" customWidth="1"/>
    <col min="45" max="45" width="14.88671875" style="3" customWidth="1"/>
    <col min="46" max="46" width="14.44140625" style="3" customWidth="1"/>
    <col min="47" max="47" width="14" style="3" customWidth="1"/>
    <col min="48" max="48" width="14.44140625" style="3" customWidth="1"/>
    <col min="49" max="49" width="14.88671875" style="3" customWidth="1"/>
    <col min="50" max="50" width="14.33203125" style="3" customWidth="1"/>
    <col min="51" max="51" width="15" style="3" customWidth="1"/>
    <col min="52" max="52" width="14.88671875" style="3" customWidth="1"/>
    <col min="53" max="53" width="15.33203125" style="3" customWidth="1"/>
    <col min="54" max="55" width="15.44140625" style="3" customWidth="1"/>
    <col min="56" max="56" width="15.33203125" style="3" customWidth="1"/>
    <col min="57" max="57" width="15.88671875" style="3" customWidth="1"/>
    <col min="58" max="58" width="15.44140625" style="3" customWidth="1"/>
    <col min="59" max="59" width="15" style="3" customWidth="1"/>
    <col min="60" max="60" width="15.44140625" style="3" customWidth="1"/>
    <col min="61" max="61" width="15.88671875" style="3" customWidth="1"/>
    <col min="62" max="62" width="15.33203125" style="3" customWidth="1"/>
    <col min="63" max="63" width="16" style="3" customWidth="1"/>
    <col min="64" max="64" width="15.88671875" style="3" customWidth="1"/>
    <col min="65" max="73" width="9.109375" style="3" customWidth="1"/>
    <col min="74" max="74" width="12.33203125" style="3" customWidth="1"/>
    <col min="75" max="75" width="13.88671875" style="3" customWidth="1"/>
    <col min="76" max="77" width="9.109375" style="3" customWidth="1"/>
    <col min="78" max="78" width="11" style="3" customWidth="1"/>
    <col min="79" max="79" width="11.44140625" style="3" customWidth="1"/>
    <col min="80" max="80" width="2.88671875" style="4" customWidth="1"/>
    <col min="81" max="81" width="32.109375" style="4" bestFit="1" customWidth="1"/>
    <col min="82" max="82" width="22.109375" style="4" bestFit="1" customWidth="1"/>
    <col min="83" max="83" width="11.33203125" style="4" bestFit="1" customWidth="1"/>
    <col min="84" max="84" width="10.109375" style="4" bestFit="1" customWidth="1"/>
    <col min="85" max="85" width="9.88671875" style="4" bestFit="1" customWidth="1"/>
    <col min="86" max="16384" width="9" style="4"/>
  </cols>
  <sheetData>
    <row r="1" spans="1:154" ht="15" thickBot="1">
      <c r="A1" s="1" t="s">
        <v>0</v>
      </c>
      <c r="B1" s="2">
        <f>AVERAGE([1]Parameters!AH2:AS2)</f>
        <v>3.399999999999999</v>
      </c>
      <c r="G1"/>
      <c r="J1" s="3"/>
      <c r="M1" s="6"/>
      <c r="R1" s="3"/>
      <c r="S1" s="9"/>
      <c r="T1" s="10"/>
      <c r="U1" s="10"/>
      <c r="V1" s="11"/>
      <c r="W1" s="11"/>
      <c r="X1" s="12">
        <f>SUM(tblSOW[Budget total cost])</f>
        <v>80869.136101241456</v>
      </c>
      <c r="AB1" s="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3">
        <v>1</v>
      </c>
      <c r="BJ1" s="3">
        <v>2</v>
      </c>
      <c r="BK1" s="3">
        <v>3</v>
      </c>
      <c r="BL1" s="3">
        <v>4</v>
      </c>
      <c r="BM1" s="3">
        <v>5</v>
      </c>
      <c r="BN1" s="3">
        <v>6</v>
      </c>
      <c r="BO1" s="3">
        <v>7</v>
      </c>
      <c r="BP1" s="3">
        <v>8</v>
      </c>
      <c r="BQ1" s="3">
        <v>9</v>
      </c>
      <c r="BR1" s="3">
        <v>10</v>
      </c>
      <c r="BS1" s="3">
        <v>11</v>
      </c>
      <c r="BT1" s="3">
        <v>12</v>
      </c>
      <c r="BX1" s="4"/>
      <c r="BY1" s="14"/>
      <c r="BZ1" s="4">
        <f>SUM(CD4:CD1048576)</f>
        <v>0</v>
      </c>
      <c r="CA1" s="4"/>
    </row>
    <row r="2" spans="1:154" s="18" customFormat="1" ht="29.4" thickBot="1">
      <c r="A2" s="15" t="s">
        <v>1</v>
      </c>
      <c r="B2" s="15" t="s">
        <v>2</v>
      </c>
      <c r="C2" s="15" t="s">
        <v>2</v>
      </c>
      <c r="D2" s="15" t="s">
        <v>2</v>
      </c>
      <c r="E2" s="15" t="s">
        <v>3</v>
      </c>
      <c r="F2" s="15" t="s">
        <v>4</v>
      </c>
      <c r="G2" s="16" t="s">
        <v>5</v>
      </c>
      <c r="H2" s="15" t="s">
        <v>1</v>
      </c>
      <c r="I2" s="15" t="s">
        <v>6</v>
      </c>
      <c r="J2" s="15" t="s">
        <v>7</v>
      </c>
      <c r="K2" s="17" t="s">
        <v>8</v>
      </c>
      <c r="L2" s="15" t="s">
        <v>1</v>
      </c>
      <c r="M2" s="14"/>
      <c r="P2" s="19"/>
      <c r="Q2" s="19"/>
      <c r="R2" s="20" t="s">
        <v>9</v>
      </c>
      <c r="S2" s="15" t="s">
        <v>1</v>
      </c>
      <c r="V2" s="21"/>
      <c r="W2" s="21"/>
      <c r="X2" s="22" t="s">
        <v>10</v>
      </c>
      <c r="Y2" s="23" t="s">
        <v>11</v>
      </c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5"/>
      <c r="AK2" s="23" t="s">
        <v>12</v>
      </c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5"/>
      <c r="AW2" s="23" t="s">
        <v>13</v>
      </c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5"/>
      <c r="BI2" s="23" t="s">
        <v>14</v>
      </c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5"/>
    </row>
    <row r="3" spans="1:154" s="38" customFormat="1" ht="43.2">
      <c r="A3" s="26" t="s">
        <v>15</v>
      </c>
      <c r="B3" s="26" t="s">
        <v>16</v>
      </c>
      <c r="C3" s="26" t="s">
        <v>17</v>
      </c>
      <c r="D3" s="27" t="s">
        <v>18</v>
      </c>
      <c r="E3" s="27" t="s">
        <v>19</v>
      </c>
      <c r="F3" s="27" t="s">
        <v>20</v>
      </c>
      <c r="G3" s="27" t="s">
        <v>21</v>
      </c>
      <c r="H3" s="26" t="s">
        <v>22</v>
      </c>
      <c r="I3" s="26" t="s">
        <v>23</v>
      </c>
      <c r="J3" s="26" t="s">
        <v>24</v>
      </c>
      <c r="K3" s="26" t="s">
        <v>25</v>
      </c>
      <c r="L3" s="28" t="s">
        <v>26</v>
      </c>
      <c r="M3" s="29" t="s">
        <v>27</v>
      </c>
      <c r="N3" s="30" t="s">
        <v>28</v>
      </c>
      <c r="O3" s="31" t="s">
        <v>29</v>
      </c>
      <c r="P3" s="32" t="s">
        <v>30</v>
      </c>
      <c r="Q3" s="32" t="s">
        <v>31</v>
      </c>
      <c r="R3" s="26" t="s">
        <v>32</v>
      </c>
      <c r="S3" s="26" t="s">
        <v>33</v>
      </c>
      <c r="T3" s="33" t="s">
        <v>34</v>
      </c>
      <c r="U3" s="34" t="s">
        <v>35</v>
      </c>
      <c r="V3" s="34" t="s">
        <v>36</v>
      </c>
      <c r="W3" s="34" t="s">
        <v>37</v>
      </c>
      <c r="X3" s="35" t="s">
        <v>38</v>
      </c>
      <c r="Y3" s="33" t="s">
        <v>39</v>
      </c>
      <c r="Z3" s="33" t="s">
        <v>40</v>
      </c>
      <c r="AA3" s="33" t="s">
        <v>41</v>
      </c>
      <c r="AB3" s="33" t="s">
        <v>42</v>
      </c>
      <c r="AC3" s="33" t="s">
        <v>43</v>
      </c>
      <c r="AD3" s="33" t="s">
        <v>44</v>
      </c>
      <c r="AE3" s="33" t="s">
        <v>45</v>
      </c>
      <c r="AF3" s="33" t="s">
        <v>46</v>
      </c>
      <c r="AG3" s="33" t="s">
        <v>47</v>
      </c>
      <c r="AH3" s="33" t="s">
        <v>48</v>
      </c>
      <c r="AI3" s="33" t="s">
        <v>49</v>
      </c>
      <c r="AJ3" s="33" t="s">
        <v>50</v>
      </c>
      <c r="AK3" s="33" t="s">
        <v>51</v>
      </c>
      <c r="AL3" s="33" t="s">
        <v>52</v>
      </c>
      <c r="AM3" s="33" t="s">
        <v>53</v>
      </c>
      <c r="AN3" s="33" t="s">
        <v>54</v>
      </c>
      <c r="AO3" s="33" t="s">
        <v>55</v>
      </c>
      <c r="AP3" s="33" t="s">
        <v>56</v>
      </c>
      <c r="AQ3" s="33" t="s">
        <v>57</v>
      </c>
      <c r="AR3" s="33" t="s">
        <v>58</v>
      </c>
      <c r="AS3" s="33" t="s">
        <v>59</v>
      </c>
      <c r="AT3" s="33" t="s">
        <v>60</v>
      </c>
      <c r="AU3" s="33" t="s">
        <v>61</v>
      </c>
      <c r="AV3" s="33" t="s">
        <v>62</v>
      </c>
      <c r="AW3" s="33" t="s">
        <v>63</v>
      </c>
      <c r="AX3" s="33" t="s">
        <v>64</v>
      </c>
      <c r="AY3" s="33" t="s">
        <v>65</v>
      </c>
      <c r="AZ3" s="33" t="s">
        <v>66</v>
      </c>
      <c r="BA3" s="33" t="s">
        <v>67</v>
      </c>
      <c r="BB3" s="33" t="s">
        <v>68</v>
      </c>
      <c r="BC3" s="33" t="s">
        <v>69</v>
      </c>
      <c r="BD3" s="33" t="s">
        <v>70</v>
      </c>
      <c r="BE3" s="33" t="s">
        <v>71</v>
      </c>
      <c r="BF3" s="33" t="s">
        <v>72</v>
      </c>
      <c r="BG3" s="33" t="s">
        <v>73</v>
      </c>
      <c r="BH3" s="33" t="s">
        <v>74</v>
      </c>
      <c r="BI3" s="33" t="s">
        <v>75</v>
      </c>
      <c r="BJ3" s="33" t="s">
        <v>76</v>
      </c>
      <c r="BK3" s="33" t="s">
        <v>77</v>
      </c>
      <c r="BL3" s="33" t="s">
        <v>78</v>
      </c>
      <c r="BM3" s="33" t="s">
        <v>79</v>
      </c>
      <c r="BN3" s="33" t="s">
        <v>80</v>
      </c>
      <c r="BO3" s="33" t="s">
        <v>81</v>
      </c>
      <c r="BP3" s="33" t="s">
        <v>82</v>
      </c>
      <c r="BQ3" s="33" t="s">
        <v>83</v>
      </c>
      <c r="BR3" s="33" t="s">
        <v>84</v>
      </c>
      <c r="BS3" s="33" t="s">
        <v>85</v>
      </c>
      <c r="BT3" s="33" t="s">
        <v>86</v>
      </c>
      <c r="BU3" s="33" t="s">
        <v>87</v>
      </c>
      <c r="BV3" s="33" t="s">
        <v>88</v>
      </c>
      <c r="BW3" s="33" t="s">
        <v>89</v>
      </c>
      <c r="BX3" s="36"/>
      <c r="BY3" s="37"/>
      <c r="BZ3" s="4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6"/>
      <c r="CQ3" s="36"/>
      <c r="CR3" s="36"/>
      <c r="CS3" s="36"/>
      <c r="CT3" s="36"/>
      <c r="CU3" s="36"/>
      <c r="CV3" s="36"/>
      <c r="CW3" s="36"/>
      <c r="CX3" s="36"/>
      <c r="CY3" s="36"/>
      <c r="CZ3" s="36"/>
      <c r="DA3" s="36"/>
      <c r="DB3" s="36"/>
      <c r="DC3" s="36"/>
      <c r="DD3" s="36"/>
      <c r="DE3" s="36"/>
      <c r="DF3" s="36"/>
      <c r="DG3" s="36"/>
      <c r="DH3" s="36"/>
      <c r="DI3" s="36"/>
      <c r="DJ3" s="36"/>
      <c r="DK3" s="36"/>
      <c r="DL3" s="36"/>
      <c r="DM3" s="36"/>
      <c r="DN3" s="36"/>
      <c r="DO3" s="36"/>
      <c r="DP3" s="36"/>
      <c r="DQ3" s="36"/>
      <c r="DR3" s="36"/>
      <c r="DS3" s="36"/>
      <c r="DT3" s="36"/>
      <c r="DU3" s="36"/>
      <c r="DV3" s="36"/>
      <c r="DW3" s="36"/>
      <c r="DX3" s="36"/>
      <c r="DY3" s="36"/>
      <c r="DZ3" s="36"/>
      <c r="EA3" s="36"/>
      <c r="EB3" s="36"/>
      <c r="EC3" s="36"/>
      <c r="ED3" s="36"/>
      <c r="EE3" s="36"/>
      <c r="EF3" s="36"/>
      <c r="EG3" s="36"/>
      <c r="EH3" s="36"/>
      <c r="EI3" s="36"/>
      <c r="EJ3" s="36"/>
      <c r="EK3" s="36"/>
      <c r="EL3" s="36"/>
      <c r="EM3" s="36"/>
      <c r="EN3" s="36"/>
      <c r="EO3" s="36"/>
      <c r="EP3" s="36"/>
      <c r="EQ3" s="36"/>
      <c r="ER3" s="36"/>
      <c r="ES3" s="36"/>
      <c r="ET3" s="36"/>
      <c r="EU3" s="36"/>
      <c r="EV3" s="36"/>
      <c r="EW3" s="36"/>
      <c r="EX3" s="36"/>
    </row>
    <row r="4" spans="1:154" s="75" customFormat="1" ht="18.75" customHeight="1">
      <c r="A4" s="67" t="str">
        <f>CONCATENATE(INDEX([1]Parameters!$U$1:$V$20,MATCH(C4,[1]Parameters!$V$1:$V$20,0),1),"/",VLOOKUP(D4,[1]Parameters!$CG$1:$CH$12,2,0),".",E4,".",H4,".",LEFT(J4,3),"-",LEFT(K4,4))</f>
        <v>B10/20.P21.405.950-T103</v>
      </c>
      <c r="B4" s="67" t="s">
        <v>90</v>
      </c>
      <c r="C4" s="67" t="s">
        <v>91</v>
      </c>
      <c r="D4" s="39" t="s">
        <v>95</v>
      </c>
      <c r="E4" s="40" t="str">
        <f>VLOOKUP(F4,[1]Parameters!P:T,4,0)</f>
        <v>P21</v>
      </c>
      <c r="F4" s="39" t="s">
        <v>96</v>
      </c>
      <c r="G4" s="67"/>
      <c r="H4" s="67">
        <f>INDEX([1]Parameters!$B:$C,MATCH(I4,[1]Parameters!$C:$C,0),1)</f>
        <v>405</v>
      </c>
      <c r="I4" s="68" t="s">
        <v>98</v>
      </c>
      <c r="J4" s="68" t="s">
        <v>94</v>
      </c>
      <c r="K4" s="68" t="s">
        <v>99</v>
      </c>
      <c r="L4" s="68" t="str">
        <f>IFERROR(VLOOKUP(tblSOW[[#This Row],[Employee name ]],[1]Parameters!CP:CS,4,0),"")</f>
        <v/>
      </c>
      <c r="M4" s="69"/>
      <c r="N4" s="70" t="s">
        <v>97</v>
      </c>
      <c r="O4" s="71" t="s">
        <v>100</v>
      </c>
      <c r="P4" s="72">
        <v>44927</v>
      </c>
      <c r="Q4" s="72">
        <v>45076</v>
      </c>
      <c r="R4" s="67"/>
      <c r="S4" s="67">
        <f t="shared" ref="S4:S7" si="0">IF(OR(P4="",Q4=""),0,MONTH(Q4)-MONTH(P4)+1)</f>
        <v>5</v>
      </c>
      <c r="T4" s="68"/>
      <c r="U4" s="68">
        <f>3+22</f>
        <v>25</v>
      </c>
      <c r="V4" s="68"/>
      <c r="W4" s="68"/>
      <c r="X4" s="73">
        <f>SUM(tblSOW[[#This Row],[Jan 2023 USD]:[Dec 2023 USD]])</f>
        <v>21361.391427651477</v>
      </c>
      <c r="Y4" s="74">
        <f>tblSOW[[#This Row],[FTE Cost]]*tblSOW[[#This Row],[% work on project]]*AK4/12+tblSOW[[#This Row],[Task Cost]]*AW4+tblSOW[[#This Row],[External Expenses/Revenues USD]]*BI4/tblSOW[[#This Row],[Duration]]</f>
        <v>4272.2782855302958</v>
      </c>
      <c r="Z4" s="74">
        <f>tblSOW[[#This Row],[FTE Cost]]*tblSOW[[#This Row],[% work on project]]*AL4/12+tblSOW[[#This Row],[Task Cost]]*AX4+tblSOW[[#This Row],[External Expenses/Revenues USD]]*BJ4/tblSOW[[#This Row],[Duration]]</f>
        <v>4272.2782855302958</v>
      </c>
      <c r="AA4" s="74">
        <f>tblSOW[[#This Row],[FTE Cost]]*tblSOW[[#This Row],[% work on project]]*AM4/12+tblSOW[[#This Row],[Task Cost]]*AY4+tblSOW[[#This Row],[External Expenses/Revenues USD]]*BK4/tblSOW[[#This Row],[Duration]]</f>
        <v>4272.2782855302958</v>
      </c>
      <c r="AB4" s="74">
        <f>tblSOW[[#This Row],[FTE Cost]]*tblSOW[[#This Row],[% work on project]]*AN4/12+tblSOW[[#This Row],[Task Cost]]*AZ4+tblSOW[[#This Row],[External Expenses/Revenues USD]]*BL4/tblSOW[[#This Row],[Duration]]</f>
        <v>4272.2782855302958</v>
      </c>
      <c r="AC4" s="74">
        <f>tblSOW[[#This Row],[FTE Cost]]*tblSOW[[#This Row],[% work on project]]*AO4/12+tblSOW[[#This Row],[Task Cost]]*BA4+tblSOW[[#This Row],[External Expenses/Revenues USD]]*BM4/tblSOW[[#This Row],[Duration]]</f>
        <v>4272.2782855302958</v>
      </c>
      <c r="AD4" s="74">
        <f>tblSOW[[#This Row],[FTE Cost]]*tblSOW[[#This Row],[% work on project]]*AP4/12+tblSOW[[#This Row],[Task Cost]]*BB4+tblSOW[[#This Row],[External Expenses/Revenues USD]]*BN4/tblSOW[[#This Row],[Duration]]</f>
        <v>0</v>
      </c>
      <c r="AE4" s="74">
        <f>tblSOW[[#This Row],[FTE Cost]]*tblSOW[[#This Row],[% work on project]]*AQ4/12+tblSOW[[#This Row],[Task Cost]]*BC4+tblSOW[[#This Row],[External Expenses/Revenues USD]]*BO4/tblSOW[[#This Row],[Duration]]</f>
        <v>0</v>
      </c>
      <c r="AF4" s="74">
        <f>tblSOW[[#This Row],[FTE Cost]]*tblSOW[[#This Row],[% work on project]]*AR4/12+tblSOW[[#This Row],[Task Cost]]*BD4+tblSOW[[#This Row],[External Expenses/Revenues USD]]*BP4/tblSOW[[#This Row],[Duration]]</f>
        <v>0</v>
      </c>
      <c r="AG4" s="74">
        <f>tblSOW[[#This Row],[FTE Cost]]*tblSOW[[#This Row],[% work on project]]*AS4/12+tblSOW[[#This Row],[Task Cost]]*BE4+tblSOW[[#This Row],[External Expenses/Revenues USD]]*BQ4/tblSOW[[#This Row],[Duration]]</f>
        <v>0</v>
      </c>
      <c r="AH4" s="74">
        <f>tblSOW[[#This Row],[FTE Cost]]*tblSOW[[#This Row],[% work on project]]*AT4/12+tblSOW[[#This Row],[Task Cost]]*BF4+tblSOW[[#This Row],[External Expenses/Revenues USD]]*BR4/tblSOW[[#This Row],[Duration]]</f>
        <v>0</v>
      </c>
      <c r="AI4" s="74">
        <f>tblSOW[[#This Row],[FTE Cost]]*tblSOW[[#This Row],[% work on project]]*AU4/12+tblSOW[[#This Row],[Task Cost]]*BG4+tblSOW[[#This Row],[External Expenses/Revenues USD]]*BS4/tblSOW[[#This Row],[Duration]]</f>
        <v>0</v>
      </c>
      <c r="AJ4" s="74">
        <f>tblSOW[[#This Row],[FTE Cost]]*tblSOW[[#This Row],[% work on project]]*AV4/12+tblSOW[[#This Row],[Task Cost]]*BH4+tblSOW[[#This Row],[External Expenses/Revenues USD]]*BT4/tblSOW[[#This Row],[Duration]]</f>
        <v>0</v>
      </c>
      <c r="AK4" s="74">
        <f t="shared" ref="AK4:AM4" si="1">$S4/$BU4*BI4</f>
        <v>1</v>
      </c>
      <c r="AL4" s="74">
        <f t="shared" si="1"/>
        <v>1</v>
      </c>
      <c r="AM4" s="74">
        <f t="shared" si="1"/>
        <v>1</v>
      </c>
      <c r="AN4" s="74">
        <f t="shared" ref="AN4:AP4" si="2">$S4/$BU4*BL4</f>
        <v>1</v>
      </c>
      <c r="AO4" s="74">
        <f t="shared" si="2"/>
        <v>1</v>
      </c>
      <c r="AP4" s="74">
        <f t="shared" si="2"/>
        <v>0</v>
      </c>
      <c r="AQ4" s="74">
        <f t="shared" ref="AQ4:AV7" si="3">$S4/$BU4*BO4</f>
        <v>0</v>
      </c>
      <c r="AR4" s="74">
        <f t="shared" si="3"/>
        <v>0</v>
      </c>
      <c r="AS4" s="74">
        <f t="shared" si="3"/>
        <v>0</v>
      </c>
      <c r="AT4" s="74">
        <f t="shared" si="3"/>
        <v>0</v>
      </c>
      <c r="AU4" s="74">
        <f t="shared" si="3"/>
        <v>0</v>
      </c>
      <c r="AV4" s="74">
        <f t="shared" si="3"/>
        <v>0</v>
      </c>
      <c r="AW4" s="74">
        <f t="shared" ref="AW4:AY4" si="4">$U4/$BU4*BI4</f>
        <v>5</v>
      </c>
      <c r="AX4" s="74">
        <f t="shared" si="4"/>
        <v>5</v>
      </c>
      <c r="AY4" s="74">
        <f t="shared" si="4"/>
        <v>5</v>
      </c>
      <c r="AZ4" s="74">
        <f t="shared" ref="AZ4:BB4" si="5">$U4/$BU4*BL4</f>
        <v>5</v>
      </c>
      <c r="BA4" s="74">
        <f t="shared" si="5"/>
        <v>5</v>
      </c>
      <c r="BB4" s="74">
        <f t="shared" si="5"/>
        <v>0</v>
      </c>
      <c r="BC4" s="74">
        <f t="shared" ref="BC4:BH7" si="6">$U4/$BU4*BO4</f>
        <v>0</v>
      </c>
      <c r="BD4" s="74">
        <f t="shared" si="6"/>
        <v>0</v>
      </c>
      <c r="BE4" s="74">
        <f t="shared" si="6"/>
        <v>0</v>
      </c>
      <c r="BF4" s="74">
        <f t="shared" si="6"/>
        <v>0</v>
      </c>
      <c r="BG4" s="74">
        <f t="shared" si="6"/>
        <v>0</v>
      </c>
      <c r="BH4" s="74">
        <f t="shared" si="6"/>
        <v>0</v>
      </c>
      <c r="BI4" s="74">
        <f t="shared" ref="BI4:BT7" si="7">IF($S4&gt;0,IF(AND(MONTH($P4)&lt;=BI$1,MONTH($Q4)&gt;=BI$1),1,0),0)</f>
        <v>1</v>
      </c>
      <c r="BJ4" s="74">
        <f t="shared" si="7"/>
        <v>1</v>
      </c>
      <c r="BK4" s="74">
        <f t="shared" si="7"/>
        <v>1</v>
      </c>
      <c r="BL4" s="74">
        <f t="shared" si="7"/>
        <v>1</v>
      </c>
      <c r="BM4" s="74">
        <f t="shared" si="7"/>
        <v>1</v>
      </c>
      <c r="BN4" s="74">
        <f t="shared" si="7"/>
        <v>0</v>
      </c>
      <c r="BO4" s="74">
        <f t="shared" si="7"/>
        <v>0</v>
      </c>
      <c r="BP4" s="74">
        <f t="shared" si="7"/>
        <v>0</v>
      </c>
      <c r="BQ4" s="74">
        <f t="shared" si="7"/>
        <v>0</v>
      </c>
      <c r="BR4" s="74">
        <f t="shared" si="7"/>
        <v>0</v>
      </c>
      <c r="BS4" s="74">
        <f t="shared" si="7"/>
        <v>0</v>
      </c>
      <c r="BT4" s="74">
        <f t="shared" si="7"/>
        <v>0</v>
      </c>
      <c r="BU4" s="74">
        <f>SUM(tblSOW[[#This Row],[P1]:[P12]])</f>
        <v>5</v>
      </c>
      <c r="BV4" s="74">
        <f xml:space="preserve"> IF(AND(ISNUMBER(SEARCH("-E000",tblSOW[[#This Row],[Budget Item]])), ISERROR(VLOOKUP(tblSOW[[#This Row],[Employee name ]],[1]Parameters!CP:DH,19,0))),VLOOKUP(tblSOW[[#This Row],[Employee name ]],[1]Parameters!CP:DH,19,0),IFERROR(VLOOKUP(tblSOW[[#This Row],[Employee name ]],[1]Parameters!CP:DH,19,0),0))</f>
        <v>0</v>
      </c>
      <c r="BW4" s="74">
        <f>IFERROR(VLOOKUP(K4,[1]Parameters!BN:BW,10,0),0)</f>
        <v>854.45565710605922</v>
      </c>
    </row>
    <row r="5" spans="1:154" s="75" customFormat="1" ht="18.75" customHeight="1">
      <c r="A5" s="67" t="str">
        <f>CONCATENATE(INDEX([1]Parameters!$U$1:$V$20,MATCH(C5,[1]Parameters!$V$1:$V$20,0),1),"/",VLOOKUP(D5,[1]Parameters!$CG$1:$CH$12,2,0),".",E5,".",H5,".",LEFT(J5,3),"-",LEFT(K5,4))</f>
        <v>B10/20.P21.404.950-T102</v>
      </c>
      <c r="B5" s="67" t="s">
        <v>90</v>
      </c>
      <c r="C5" s="67" t="s">
        <v>91</v>
      </c>
      <c r="D5" s="39" t="s">
        <v>95</v>
      </c>
      <c r="E5" s="40" t="str">
        <f>VLOOKUP(F5,[1]Parameters!P:T,4,0)</f>
        <v>P21</v>
      </c>
      <c r="F5" s="39" t="s">
        <v>96</v>
      </c>
      <c r="G5" s="67"/>
      <c r="H5" s="67">
        <f>INDEX([1]Parameters!$B:$C,MATCH(I5,[1]Parameters!$C:$C,0),1)</f>
        <v>404</v>
      </c>
      <c r="I5" s="68" t="s">
        <v>101</v>
      </c>
      <c r="J5" s="68" t="s">
        <v>94</v>
      </c>
      <c r="K5" s="68" t="s">
        <v>102</v>
      </c>
      <c r="L5" s="68" t="str">
        <f>IFERROR(VLOOKUP(tblSOW[[#This Row],[Employee name ]],[1]Parameters!CP:CS,4,0),"")</f>
        <v/>
      </c>
      <c r="M5" s="69"/>
      <c r="N5" s="70" t="s">
        <v>103</v>
      </c>
      <c r="O5" s="71"/>
      <c r="P5" s="72">
        <v>44986</v>
      </c>
      <c r="Q5" s="72">
        <v>45291</v>
      </c>
      <c r="R5" s="67"/>
      <c r="S5" s="67">
        <f t="shared" si="0"/>
        <v>10</v>
      </c>
      <c r="T5" s="68"/>
      <c r="U5" s="68">
        <v>26</v>
      </c>
      <c r="V5" s="68"/>
      <c r="W5" s="68"/>
      <c r="X5" s="73">
        <f>SUM(tblSOW[[#This Row],[Jan 2023 USD]:[Dec 2023 USD]])</f>
        <v>26689.250138668107</v>
      </c>
      <c r="Y5" s="74">
        <f>tblSOW[[#This Row],[FTE Cost]]*tblSOW[[#This Row],[% work on project]]*AK5/12+tblSOW[[#This Row],[Task Cost]]*AW5+tblSOW[[#This Row],[External Expenses/Revenues USD]]*BI5/tblSOW[[#This Row],[Duration]]</f>
        <v>0</v>
      </c>
      <c r="Z5" s="74">
        <f>tblSOW[[#This Row],[FTE Cost]]*tblSOW[[#This Row],[% work on project]]*AL5/12+tblSOW[[#This Row],[Task Cost]]*AX5+tblSOW[[#This Row],[External Expenses/Revenues USD]]*BJ5/tblSOW[[#This Row],[Duration]]</f>
        <v>0</v>
      </c>
      <c r="AA5" s="74">
        <f>tblSOW[[#This Row],[FTE Cost]]*tblSOW[[#This Row],[% work on project]]*AM5/12+tblSOW[[#This Row],[Task Cost]]*AY5+tblSOW[[#This Row],[External Expenses/Revenues USD]]*BK5/tblSOW[[#This Row],[Duration]]</f>
        <v>2668.9250138668112</v>
      </c>
      <c r="AB5" s="74">
        <f>tblSOW[[#This Row],[FTE Cost]]*tblSOW[[#This Row],[% work on project]]*AN5/12+tblSOW[[#This Row],[Task Cost]]*AZ5+tblSOW[[#This Row],[External Expenses/Revenues USD]]*BL5/tblSOW[[#This Row],[Duration]]</f>
        <v>2668.9250138668112</v>
      </c>
      <c r="AC5" s="74">
        <f>tblSOW[[#This Row],[FTE Cost]]*tblSOW[[#This Row],[% work on project]]*AO5/12+tblSOW[[#This Row],[Task Cost]]*BA5+tblSOW[[#This Row],[External Expenses/Revenues USD]]*BM5/tblSOW[[#This Row],[Duration]]</f>
        <v>2668.9250138668112</v>
      </c>
      <c r="AD5" s="74">
        <f>tblSOW[[#This Row],[FTE Cost]]*tblSOW[[#This Row],[% work on project]]*AP5/12+tblSOW[[#This Row],[Task Cost]]*BB5+tblSOW[[#This Row],[External Expenses/Revenues USD]]*BN5/tblSOW[[#This Row],[Duration]]</f>
        <v>2668.9250138668112</v>
      </c>
      <c r="AE5" s="74">
        <f>tblSOW[[#This Row],[FTE Cost]]*tblSOW[[#This Row],[% work on project]]*AQ5/12+tblSOW[[#This Row],[Task Cost]]*BC5+tblSOW[[#This Row],[External Expenses/Revenues USD]]*BO5/tblSOW[[#This Row],[Duration]]</f>
        <v>2668.9250138668112</v>
      </c>
      <c r="AF5" s="74">
        <f>tblSOW[[#This Row],[FTE Cost]]*tblSOW[[#This Row],[% work on project]]*AR5/12+tblSOW[[#This Row],[Task Cost]]*BD5+tblSOW[[#This Row],[External Expenses/Revenues USD]]*BP5/tblSOW[[#This Row],[Duration]]</f>
        <v>2668.9250138668112</v>
      </c>
      <c r="AG5" s="74">
        <f>tblSOW[[#This Row],[FTE Cost]]*tblSOW[[#This Row],[% work on project]]*AS5/12+tblSOW[[#This Row],[Task Cost]]*BE5+tblSOW[[#This Row],[External Expenses/Revenues USD]]*BQ5/tblSOW[[#This Row],[Duration]]</f>
        <v>2668.9250138668112</v>
      </c>
      <c r="AH5" s="74">
        <f>tblSOW[[#This Row],[FTE Cost]]*tblSOW[[#This Row],[% work on project]]*AT5/12+tblSOW[[#This Row],[Task Cost]]*BF5+tblSOW[[#This Row],[External Expenses/Revenues USD]]*BR5/tblSOW[[#This Row],[Duration]]</f>
        <v>2668.9250138668112</v>
      </c>
      <c r="AI5" s="74">
        <f>tblSOW[[#This Row],[FTE Cost]]*tblSOW[[#This Row],[% work on project]]*AU5/12+tblSOW[[#This Row],[Task Cost]]*BG5+tblSOW[[#This Row],[External Expenses/Revenues USD]]*BS5/tblSOW[[#This Row],[Duration]]</f>
        <v>2668.9250138668112</v>
      </c>
      <c r="AJ5" s="74">
        <f>tblSOW[[#This Row],[FTE Cost]]*tblSOW[[#This Row],[% work on project]]*AV5/12+tblSOW[[#This Row],[Task Cost]]*BH5+tblSOW[[#This Row],[External Expenses/Revenues USD]]*BT5/tblSOW[[#This Row],[Duration]]</f>
        <v>2668.9250138668112</v>
      </c>
      <c r="AK5" s="74">
        <f t="shared" ref="AK5:AV9" si="8">$S5/$BU5*BI5</f>
        <v>0</v>
      </c>
      <c r="AL5" s="74">
        <f t="shared" si="8"/>
        <v>0</v>
      </c>
      <c r="AM5" s="74">
        <f t="shared" si="8"/>
        <v>1</v>
      </c>
      <c r="AN5" s="74">
        <f t="shared" si="8"/>
        <v>1</v>
      </c>
      <c r="AO5" s="74">
        <f t="shared" si="8"/>
        <v>1</v>
      </c>
      <c r="AP5" s="74">
        <f t="shared" si="8"/>
        <v>1</v>
      </c>
      <c r="AQ5" s="74">
        <f t="shared" si="3"/>
        <v>1</v>
      </c>
      <c r="AR5" s="74">
        <f t="shared" si="3"/>
        <v>1</v>
      </c>
      <c r="AS5" s="74">
        <f t="shared" si="3"/>
        <v>1</v>
      </c>
      <c r="AT5" s="74">
        <f t="shared" si="3"/>
        <v>1</v>
      </c>
      <c r="AU5" s="74">
        <f t="shared" si="3"/>
        <v>1</v>
      </c>
      <c r="AV5" s="74">
        <f t="shared" si="3"/>
        <v>1</v>
      </c>
      <c r="AW5" s="74">
        <f t="shared" ref="AW5:BH9" si="9">$U5/$BU5*BI5</f>
        <v>0</v>
      </c>
      <c r="AX5" s="74">
        <f t="shared" si="9"/>
        <v>0</v>
      </c>
      <c r="AY5" s="74">
        <f t="shared" si="9"/>
        <v>2.6</v>
      </c>
      <c r="AZ5" s="74">
        <f t="shared" si="9"/>
        <v>2.6</v>
      </c>
      <c r="BA5" s="74">
        <f t="shared" si="9"/>
        <v>2.6</v>
      </c>
      <c r="BB5" s="74">
        <f t="shared" si="9"/>
        <v>2.6</v>
      </c>
      <c r="BC5" s="74">
        <f t="shared" si="6"/>
        <v>2.6</v>
      </c>
      <c r="BD5" s="74">
        <f t="shared" si="6"/>
        <v>2.6</v>
      </c>
      <c r="BE5" s="74">
        <f t="shared" si="6"/>
        <v>2.6</v>
      </c>
      <c r="BF5" s="74">
        <f t="shared" si="6"/>
        <v>2.6</v>
      </c>
      <c r="BG5" s="74">
        <f t="shared" si="6"/>
        <v>2.6</v>
      </c>
      <c r="BH5" s="74">
        <f t="shared" si="6"/>
        <v>2.6</v>
      </c>
      <c r="BI5" s="74">
        <f t="shared" si="7"/>
        <v>0</v>
      </c>
      <c r="BJ5" s="74">
        <f t="shared" si="7"/>
        <v>0</v>
      </c>
      <c r="BK5" s="74">
        <f t="shared" si="7"/>
        <v>1</v>
      </c>
      <c r="BL5" s="74">
        <f t="shared" si="7"/>
        <v>1</v>
      </c>
      <c r="BM5" s="74">
        <f t="shared" si="7"/>
        <v>1</v>
      </c>
      <c r="BN5" s="74">
        <f t="shared" si="7"/>
        <v>1</v>
      </c>
      <c r="BO5" s="74">
        <f t="shared" si="7"/>
        <v>1</v>
      </c>
      <c r="BP5" s="74">
        <f t="shared" si="7"/>
        <v>1</v>
      </c>
      <c r="BQ5" s="74">
        <f t="shared" si="7"/>
        <v>1</v>
      </c>
      <c r="BR5" s="74">
        <f t="shared" si="7"/>
        <v>1</v>
      </c>
      <c r="BS5" s="74">
        <f t="shared" si="7"/>
        <v>1</v>
      </c>
      <c r="BT5" s="74">
        <f t="shared" si="7"/>
        <v>1</v>
      </c>
      <c r="BU5" s="74">
        <f>SUM(tblSOW[[#This Row],[P1]:[P12]])</f>
        <v>10</v>
      </c>
      <c r="BV5" s="74">
        <f xml:space="preserve"> IF(AND(ISNUMBER(SEARCH("-E000",tblSOW[[#This Row],[Budget Item]])), ISERROR(VLOOKUP(tblSOW[[#This Row],[Employee name ]],[1]Parameters!CP:DH,19,0))),VLOOKUP(tblSOW[[#This Row],[Employee name ]],[1]Parameters!CP:DH,19,0),IFERROR(VLOOKUP(tblSOW[[#This Row],[Employee name ]],[1]Parameters!CP:DH,19,0),0))</f>
        <v>0</v>
      </c>
      <c r="BW5" s="74">
        <f>IFERROR(VLOOKUP(K5,[1]Parameters!BN:BW,10,0),0)</f>
        <v>1026.5096207180043</v>
      </c>
    </row>
    <row r="6" spans="1:154" s="75" customFormat="1" ht="18.75" customHeight="1">
      <c r="A6" s="67" t="str">
        <f>CONCATENATE(INDEX([1]Parameters!$U$1:$V$20,MATCH(C6,[1]Parameters!$V$1:$V$20,0),1),"/",VLOOKUP(D6,[1]Parameters!$CG$1:$CH$12,2,0),".",E6,".",H6,".",LEFT(J6,3),"-",LEFT(K6,4))</f>
        <v>B10/20.P21.427.950-T109</v>
      </c>
      <c r="B6" s="67" t="s">
        <v>90</v>
      </c>
      <c r="C6" s="67" t="s">
        <v>91</v>
      </c>
      <c r="D6" s="39" t="s">
        <v>95</v>
      </c>
      <c r="E6" s="40" t="str">
        <f>VLOOKUP(F6,[1]Parameters!P:T,4,0)</f>
        <v>P21</v>
      </c>
      <c r="F6" s="39" t="s">
        <v>96</v>
      </c>
      <c r="G6" s="67"/>
      <c r="H6" s="67">
        <f>INDEX([1]Parameters!$B:$C,MATCH(I6,[1]Parameters!$C:$C,0),1)</f>
        <v>427</v>
      </c>
      <c r="I6" s="68" t="s">
        <v>104</v>
      </c>
      <c r="J6" s="68" t="s">
        <v>94</v>
      </c>
      <c r="K6" s="68" t="s">
        <v>105</v>
      </c>
      <c r="L6" s="68" t="str">
        <f>IFERROR(VLOOKUP(tblSOW[[#This Row],[Employee name ]],[1]Parameters!CP:CS,4,0),"")</f>
        <v/>
      </c>
      <c r="M6" s="69"/>
      <c r="N6" s="67" t="s">
        <v>103</v>
      </c>
      <c r="O6" s="76"/>
      <c r="P6" s="72">
        <v>44986</v>
      </c>
      <c r="Q6" s="72">
        <v>45291</v>
      </c>
      <c r="R6" s="67"/>
      <c r="S6" s="67">
        <f t="shared" si="0"/>
        <v>10</v>
      </c>
      <c r="T6" s="68"/>
      <c r="U6" s="68">
        <v>25</v>
      </c>
      <c r="V6" s="68"/>
      <c r="W6" s="68"/>
      <c r="X6" s="73">
        <f>SUM(tblSOW[[#This Row],[Jan 2023 USD]:[Dec 2023 USD]])</f>
        <v>20686.080167647779</v>
      </c>
      <c r="Y6" s="74">
        <f>tblSOW[[#This Row],[FTE Cost]]*tblSOW[[#This Row],[% work on project]]*AK6/12+tblSOW[[#This Row],[Task Cost]]*AW6+tblSOW[[#This Row],[External Expenses/Revenues USD]]*BI6/tblSOW[[#This Row],[Duration]]</f>
        <v>0</v>
      </c>
      <c r="Z6" s="74">
        <f>tblSOW[[#This Row],[FTE Cost]]*tblSOW[[#This Row],[% work on project]]*AL6/12+tblSOW[[#This Row],[Task Cost]]*AX6+tblSOW[[#This Row],[External Expenses/Revenues USD]]*BJ6/tblSOW[[#This Row],[Duration]]</f>
        <v>0</v>
      </c>
      <c r="AA6" s="74">
        <f>tblSOW[[#This Row],[FTE Cost]]*tblSOW[[#This Row],[% work on project]]*AM6/12+tblSOW[[#This Row],[Task Cost]]*AY6+tblSOW[[#This Row],[External Expenses/Revenues USD]]*BK6/tblSOW[[#This Row],[Duration]]</f>
        <v>2068.6080167647779</v>
      </c>
      <c r="AB6" s="74">
        <f>tblSOW[[#This Row],[FTE Cost]]*tblSOW[[#This Row],[% work on project]]*AN6/12+tblSOW[[#This Row],[Task Cost]]*AZ6+tblSOW[[#This Row],[External Expenses/Revenues USD]]*BL6/tblSOW[[#This Row],[Duration]]</f>
        <v>2068.6080167647779</v>
      </c>
      <c r="AC6" s="74">
        <f>tblSOW[[#This Row],[FTE Cost]]*tblSOW[[#This Row],[% work on project]]*AO6/12+tblSOW[[#This Row],[Task Cost]]*BA6+tblSOW[[#This Row],[External Expenses/Revenues USD]]*BM6/tblSOW[[#This Row],[Duration]]</f>
        <v>2068.6080167647779</v>
      </c>
      <c r="AD6" s="74">
        <f>tblSOW[[#This Row],[FTE Cost]]*tblSOW[[#This Row],[% work on project]]*AP6/12+tblSOW[[#This Row],[Task Cost]]*BB6+tblSOW[[#This Row],[External Expenses/Revenues USD]]*BN6/tblSOW[[#This Row],[Duration]]</f>
        <v>2068.6080167647779</v>
      </c>
      <c r="AE6" s="74">
        <f>tblSOW[[#This Row],[FTE Cost]]*tblSOW[[#This Row],[% work on project]]*AQ6/12+tblSOW[[#This Row],[Task Cost]]*BC6+tblSOW[[#This Row],[External Expenses/Revenues USD]]*BO6/tblSOW[[#This Row],[Duration]]</f>
        <v>2068.6080167647779</v>
      </c>
      <c r="AF6" s="74">
        <f>tblSOW[[#This Row],[FTE Cost]]*tblSOW[[#This Row],[% work on project]]*AR6/12+tblSOW[[#This Row],[Task Cost]]*BD6+tblSOW[[#This Row],[External Expenses/Revenues USD]]*BP6/tblSOW[[#This Row],[Duration]]</f>
        <v>2068.6080167647779</v>
      </c>
      <c r="AG6" s="74">
        <f>tblSOW[[#This Row],[FTE Cost]]*tblSOW[[#This Row],[% work on project]]*AS6/12+tblSOW[[#This Row],[Task Cost]]*BE6+tblSOW[[#This Row],[External Expenses/Revenues USD]]*BQ6/tblSOW[[#This Row],[Duration]]</f>
        <v>2068.6080167647779</v>
      </c>
      <c r="AH6" s="74">
        <f>tblSOW[[#This Row],[FTE Cost]]*tblSOW[[#This Row],[% work on project]]*AT6/12+tblSOW[[#This Row],[Task Cost]]*BF6+tblSOW[[#This Row],[External Expenses/Revenues USD]]*BR6/tblSOW[[#This Row],[Duration]]</f>
        <v>2068.6080167647779</v>
      </c>
      <c r="AI6" s="74">
        <f>tblSOW[[#This Row],[FTE Cost]]*tblSOW[[#This Row],[% work on project]]*AU6/12+tblSOW[[#This Row],[Task Cost]]*BG6+tblSOW[[#This Row],[External Expenses/Revenues USD]]*BS6/tblSOW[[#This Row],[Duration]]</f>
        <v>2068.6080167647779</v>
      </c>
      <c r="AJ6" s="74">
        <f>tblSOW[[#This Row],[FTE Cost]]*tblSOW[[#This Row],[% work on project]]*AV6/12+tblSOW[[#This Row],[Task Cost]]*BH6+tblSOW[[#This Row],[External Expenses/Revenues USD]]*BT6/tblSOW[[#This Row],[Duration]]</f>
        <v>2068.6080167647779</v>
      </c>
      <c r="AK6" s="74">
        <f t="shared" si="8"/>
        <v>0</v>
      </c>
      <c r="AL6" s="74">
        <f t="shared" si="8"/>
        <v>0</v>
      </c>
      <c r="AM6" s="74">
        <f t="shared" si="8"/>
        <v>1</v>
      </c>
      <c r="AN6" s="74">
        <f t="shared" si="8"/>
        <v>1</v>
      </c>
      <c r="AO6" s="74">
        <f t="shared" si="8"/>
        <v>1</v>
      </c>
      <c r="AP6" s="74">
        <f t="shared" si="8"/>
        <v>1</v>
      </c>
      <c r="AQ6" s="74">
        <f t="shared" si="3"/>
        <v>1</v>
      </c>
      <c r="AR6" s="74">
        <f t="shared" si="3"/>
        <v>1</v>
      </c>
      <c r="AS6" s="74">
        <f t="shared" si="3"/>
        <v>1</v>
      </c>
      <c r="AT6" s="74">
        <f t="shared" si="3"/>
        <v>1</v>
      </c>
      <c r="AU6" s="74">
        <f t="shared" si="3"/>
        <v>1</v>
      </c>
      <c r="AV6" s="74">
        <f t="shared" si="3"/>
        <v>1</v>
      </c>
      <c r="AW6" s="74">
        <f t="shared" si="9"/>
        <v>0</v>
      </c>
      <c r="AX6" s="74">
        <f t="shared" si="9"/>
        <v>0</v>
      </c>
      <c r="AY6" s="74">
        <f t="shared" si="9"/>
        <v>2.5</v>
      </c>
      <c r="AZ6" s="74">
        <f t="shared" si="9"/>
        <v>2.5</v>
      </c>
      <c r="BA6" s="74">
        <f t="shared" si="9"/>
        <v>2.5</v>
      </c>
      <c r="BB6" s="74">
        <f t="shared" si="9"/>
        <v>2.5</v>
      </c>
      <c r="BC6" s="74">
        <f t="shared" si="6"/>
        <v>2.5</v>
      </c>
      <c r="BD6" s="74">
        <f t="shared" si="6"/>
        <v>2.5</v>
      </c>
      <c r="BE6" s="74">
        <f t="shared" si="6"/>
        <v>2.5</v>
      </c>
      <c r="BF6" s="74">
        <f t="shared" si="6"/>
        <v>2.5</v>
      </c>
      <c r="BG6" s="74">
        <f t="shared" si="6"/>
        <v>2.5</v>
      </c>
      <c r="BH6" s="74">
        <f t="shared" si="6"/>
        <v>2.5</v>
      </c>
      <c r="BI6" s="74">
        <f t="shared" si="7"/>
        <v>0</v>
      </c>
      <c r="BJ6" s="74">
        <f t="shared" si="7"/>
        <v>0</v>
      </c>
      <c r="BK6" s="74">
        <f t="shared" si="7"/>
        <v>1</v>
      </c>
      <c r="BL6" s="74">
        <f t="shared" si="7"/>
        <v>1</v>
      </c>
      <c r="BM6" s="74">
        <f t="shared" si="7"/>
        <v>1</v>
      </c>
      <c r="BN6" s="74">
        <f t="shared" si="7"/>
        <v>1</v>
      </c>
      <c r="BO6" s="74">
        <f t="shared" si="7"/>
        <v>1</v>
      </c>
      <c r="BP6" s="74">
        <f t="shared" si="7"/>
        <v>1</v>
      </c>
      <c r="BQ6" s="74">
        <f t="shared" si="7"/>
        <v>1</v>
      </c>
      <c r="BR6" s="74">
        <f t="shared" si="7"/>
        <v>1</v>
      </c>
      <c r="BS6" s="74">
        <f t="shared" si="7"/>
        <v>1</v>
      </c>
      <c r="BT6" s="74">
        <f t="shared" si="7"/>
        <v>1</v>
      </c>
      <c r="BU6" s="74">
        <f>SUM(tblSOW[[#This Row],[P1]:[P12]])</f>
        <v>10</v>
      </c>
      <c r="BV6" s="74">
        <f xml:space="preserve"> IF(AND(ISNUMBER(SEARCH("-E000",tblSOW[[#This Row],[Budget Item]])), ISERROR(VLOOKUP(tblSOW[[#This Row],[Employee name ]],[1]Parameters!CP:DH,19,0))),VLOOKUP(tblSOW[[#This Row],[Employee name ]],[1]Parameters!CP:DH,19,0),IFERROR(VLOOKUP(tblSOW[[#This Row],[Employee name ]],[1]Parameters!CP:DH,19,0),0))</f>
        <v>0</v>
      </c>
      <c r="BW6" s="74">
        <f>IFERROR(VLOOKUP(K6,[1]Parameters!BN:BW,10,0),0)</f>
        <v>827.44320670591105</v>
      </c>
    </row>
    <row r="7" spans="1:154" s="75" customFormat="1" ht="18.75" customHeight="1">
      <c r="A7" s="67" t="str">
        <f>CONCATENATE(INDEX([1]Parameters!$U$1:$V$20,MATCH(C7,[1]Parameters!$V$1:$V$20,0),1),"/",VLOOKUP(D7,[1]Parameters!$CG$1:$CH$12,2,0),".",E7,".",H7,".",LEFT(J7,3),"-",LEFT(K7,4))</f>
        <v>B10/20.P21.406.950-T112</v>
      </c>
      <c r="B7" s="67" t="s">
        <v>90</v>
      </c>
      <c r="C7" s="67" t="s">
        <v>91</v>
      </c>
      <c r="D7" s="39" t="s">
        <v>95</v>
      </c>
      <c r="E7" s="40" t="str">
        <f>VLOOKUP(F7,[1]Parameters!P:T,4,0)</f>
        <v>P21</v>
      </c>
      <c r="F7" s="39" t="s">
        <v>96</v>
      </c>
      <c r="G7" s="67"/>
      <c r="H7" s="67">
        <f>INDEX([1]Parameters!$B:$C,MATCH(I7,[1]Parameters!$C:$C,0),1)</f>
        <v>406</v>
      </c>
      <c r="I7" s="68" t="s">
        <v>106</v>
      </c>
      <c r="J7" s="68" t="s">
        <v>94</v>
      </c>
      <c r="K7" s="68" t="s">
        <v>107</v>
      </c>
      <c r="L7" s="68" t="str">
        <f>IFERROR(VLOOKUP(tblSOW[[#This Row],[Employee name ]],[1]Parameters!CP:CS,4,0),"")</f>
        <v/>
      </c>
      <c r="M7" s="69"/>
      <c r="N7" s="70" t="s">
        <v>103</v>
      </c>
      <c r="O7" s="71"/>
      <c r="P7" s="72">
        <v>44986</v>
      </c>
      <c r="Q7" s="72">
        <v>45291</v>
      </c>
      <c r="R7" s="67"/>
      <c r="S7" s="67">
        <f t="shared" si="0"/>
        <v>10</v>
      </c>
      <c r="T7" s="68"/>
      <c r="U7" s="68">
        <v>3</v>
      </c>
      <c r="V7" s="68"/>
      <c r="W7" s="68"/>
      <c r="X7" s="73">
        <f>SUM(tblSOW[[#This Row],[Jan 2023 USD]:[Dec 2023 USD]])</f>
        <v>3061.7166441666036</v>
      </c>
      <c r="Y7" s="74">
        <f>tblSOW[[#This Row],[FTE Cost]]*tblSOW[[#This Row],[% work on project]]*AK7/12+tblSOW[[#This Row],[Task Cost]]*AW7+tblSOW[[#This Row],[External Expenses/Revenues USD]]*BI7/tblSOW[[#This Row],[Duration]]</f>
        <v>0</v>
      </c>
      <c r="Z7" s="74">
        <f>tblSOW[[#This Row],[FTE Cost]]*tblSOW[[#This Row],[% work on project]]*AL7/12+tblSOW[[#This Row],[Task Cost]]*AX7+tblSOW[[#This Row],[External Expenses/Revenues USD]]*BJ7/tblSOW[[#This Row],[Duration]]</f>
        <v>0</v>
      </c>
      <c r="AA7" s="74">
        <f>tblSOW[[#This Row],[FTE Cost]]*tblSOW[[#This Row],[% work on project]]*AM7/12+tblSOW[[#This Row],[Task Cost]]*AY7+tblSOW[[#This Row],[External Expenses/Revenues USD]]*BK7/tblSOW[[#This Row],[Duration]]</f>
        <v>306.17166441666029</v>
      </c>
      <c r="AB7" s="74">
        <f>tblSOW[[#This Row],[FTE Cost]]*tblSOW[[#This Row],[% work on project]]*AN7/12+tblSOW[[#This Row],[Task Cost]]*AZ7+tblSOW[[#This Row],[External Expenses/Revenues USD]]*BL7/tblSOW[[#This Row],[Duration]]</f>
        <v>306.17166441666029</v>
      </c>
      <c r="AC7" s="74">
        <f>tblSOW[[#This Row],[FTE Cost]]*tblSOW[[#This Row],[% work on project]]*AO7/12+tblSOW[[#This Row],[Task Cost]]*BA7+tblSOW[[#This Row],[External Expenses/Revenues USD]]*BM7/tblSOW[[#This Row],[Duration]]</f>
        <v>306.17166441666029</v>
      </c>
      <c r="AD7" s="74">
        <f>tblSOW[[#This Row],[FTE Cost]]*tblSOW[[#This Row],[% work on project]]*AP7/12+tblSOW[[#This Row],[Task Cost]]*BB7+tblSOW[[#This Row],[External Expenses/Revenues USD]]*BN7/tblSOW[[#This Row],[Duration]]</f>
        <v>306.17166441666029</v>
      </c>
      <c r="AE7" s="74">
        <f>tblSOW[[#This Row],[FTE Cost]]*tblSOW[[#This Row],[% work on project]]*AQ7/12+tblSOW[[#This Row],[Task Cost]]*BC7+tblSOW[[#This Row],[External Expenses/Revenues USD]]*BO7/tblSOW[[#This Row],[Duration]]</f>
        <v>306.17166441666029</v>
      </c>
      <c r="AF7" s="74">
        <f>tblSOW[[#This Row],[FTE Cost]]*tblSOW[[#This Row],[% work on project]]*AR7/12+tblSOW[[#This Row],[Task Cost]]*BD7+tblSOW[[#This Row],[External Expenses/Revenues USD]]*BP7/tblSOW[[#This Row],[Duration]]</f>
        <v>306.17166441666029</v>
      </c>
      <c r="AG7" s="74">
        <f>tblSOW[[#This Row],[FTE Cost]]*tblSOW[[#This Row],[% work on project]]*AS7/12+tblSOW[[#This Row],[Task Cost]]*BE7+tblSOW[[#This Row],[External Expenses/Revenues USD]]*BQ7/tblSOW[[#This Row],[Duration]]</f>
        <v>306.17166441666029</v>
      </c>
      <c r="AH7" s="74">
        <f>tblSOW[[#This Row],[FTE Cost]]*tblSOW[[#This Row],[% work on project]]*AT7/12+tblSOW[[#This Row],[Task Cost]]*BF7+tblSOW[[#This Row],[External Expenses/Revenues USD]]*BR7/tblSOW[[#This Row],[Duration]]</f>
        <v>306.17166441666029</v>
      </c>
      <c r="AI7" s="74">
        <f>tblSOW[[#This Row],[FTE Cost]]*tblSOW[[#This Row],[% work on project]]*AU7/12+tblSOW[[#This Row],[Task Cost]]*BG7+tblSOW[[#This Row],[External Expenses/Revenues USD]]*BS7/tblSOW[[#This Row],[Duration]]</f>
        <v>306.17166441666029</v>
      </c>
      <c r="AJ7" s="74">
        <f>tblSOW[[#This Row],[FTE Cost]]*tblSOW[[#This Row],[% work on project]]*AV7/12+tblSOW[[#This Row],[Task Cost]]*BH7+tblSOW[[#This Row],[External Expenses/Revenues USD]]*BT7/tblSOW[[#This Row],[Duration]]</f>
        <v>306.17166441666029</v>
      </c>
      <c r="AK7" s="74">
        <f t="shared" si="8"/>
        <v>0</v>
      </c>
      <c r="AL7" s="74">
        <f t="shared" si="8"/>
        <v>0</v>
      </c>
      <c r="AM7" s="74">
        <f t="shared" si="8"/>
        <v>1</v>
      </c>
      <c r="AN7" s="74">
        <f t="shared" si="8"/>
        <v>1</v>
      </c>
      <c r="AO7" s="74">
        <f t="shared" si="8"/>
        <v>1</v>
      </c>
      <c r="AP7" s="74">
        <f t="shared" si="8"/>
        <v>1</v>
      </c>
      <c r="AQ7" s="74">
        <f t="shared" si="3"/>
        <v>1</v>
      </c>
      <c r="AR7" s="74">
        <f t="shared" si="3"/>
        <v>1</v>
      </c>
      <c r="AS7" s="74">
        <f t="shared" si="3"/>
        <v>1</v>
      </c>
      <c r="AT7" s="74">
        <f t="shared" si="3"/>
        <v>1</v>
      </c>
      <c r="AU7" s="74">
        <f t="shared" si="3"/>
        <v>1</v>
      </c>
      <c r="AV7" s="74">
        <f t="shared" si="3"/>
        <v>1</v>
      </c>
      <c r="AW7" s="74">
        <f t="shared" si="9"/>
        <v>0</v>
      </c>
      <c r="AX7" s="74">
        <f t="shared" si="9"/>
        <v>0</v>
      </c>
      <c r="AY7" s="74">
        <f t="shared" si="9"/>
        <v>0.3</v>
      </c>
      <c r="AZ7" s="74">
        <f t="shared" si="9"/>
        <v>0.3</v>
      </c>
      <c r="BA7" s="74">
        <f t="shared" si="9"/>
        <v>0.3</v>
      </c>
      <c r="BB7" s="74">
        <f t="shared" si="9"/>
        <v>0.3</v>
      </c>
      <c r="BC7" s="74">
        <f t="shared" si="6"/>
        <v>0.3</v>
      </c>
      <c r="BD7" s="74">
        <f t="shared" si="6"/>
        <v>0.3</v>
      </c>
      <c r="BE7" s="74">
        <f t="shared" si="6"/>
        <v>0.3</v>
      </c>
      <c r="BF7" s="74">
        <f t="shared" si="6"/>
        <v>0.3</v>
      </c>
      <c r="BG7" s="74">
        <f t="shared" si="6"/>
        <v>0.3</v>
      </c>
      <c r="BH7" s="74">
        <f t="shared" si="6"/>
        <v>0.3</v>
      </c>
      <c r="BI7" s="74">
        <f t="shared" si="7"/>
        <v>0</v>
      </c>
      <c r="BJ7" s="74">
        <f t="shared" si="7"/>
        <v>0</v>
      </c>
      <c r="BK7" s="74">
        <f t="shared" si="7"/>
        <v>1</v>
      </c>
      <c r="BL7" s="74">
        <f t="shared" si="7"/>
        <v>1</v>
      </c>
      <c r="BM7" s="74">
        <f t="shared" si="7"/>
        <v>1</v>
      </c>
      <c r="BN7" s="74">
        <f t="shared" si="7"/>
        <v>1</v>
      </c>
      <c r="BO7" s="74">
        <f t="shared" si="7"/>
        <v>1</v>
      </c>
      <c r="BP7" s="74">
        <f t="shared" si="7"/>
        <v>1</v>
      </c>
      <c r="BQ7" s="74">
        <f t="shared" si="7"/>
        <v>1</v>
      </c>
      <c r="BR7" s="74">
        <f t="shared" si="7"/>
        <v>1</v>
      </c>
      <c r="BS7" s="74">
        <f t="shared" si="7"/>
        <v>1</v>
      </c>
      <c r="BT7" s="74">
        <f t="shared" si="7"/>
        <v>1</v>
      </c>
      <c r="BU7" s="74">
        <f>SUM(tblSOW[[#This Row],[P1]:[P12]])</f>
        <v>10</v>
      </c>
      <c r="BV7" s="74">
        <f xml:space="preserve"> IF(AND(ISNUMBER(SEARCH("-E000",tblSOW[[#This Row],[Budget Item]])), ISERROR(VLOOKUP(tblSOW[[#This Row],[Employee name ]],[1]Parameters!CP:DH,19,0))),VLOOKUP(tblSOW[[#This Row],[Employee name ]],[1]Parameters!CP:DH,19,0),IFERROR(VLOOKUP(tblSOW[[#This Row],[Employee name ]],[1]Parameters!CP:DH,19,0),0))</f>
        <v>0</v>
      </c>
      <c r="BW7" s="74">
        <f>IFERROR(VLOOKUP(K7,[1]Parameters!BN:BW,10,0),0)</f>
        <v>1020.572214722201</v>
      </c>
    </row>
    <row r="8" spans="1:154" s="75" customFormat="1" ht="18.75" customHeight="1">
      <c r="A8" s="67" t="str">
        <f>CONCATENATE(INDEX([1]Parameters!$U$1:$V$20,MATCH(C8,[1]Parameters!$V$1:$V$20,0),1),"/",VLOOKUP(D8,[1]Parameters!$CG$1:$CH$12,2,0),".",E8,".",H8,".",LEFT(J8,3),"-",LEFT(K8,4))</f>
        <v>B10/20.P24.404.950-T102</v>
      </c>
      <c r="B8" s="67" t="s">
        <v>90</v>
      </c>
      <c r="C8" s="67" t="s">
        <v>91</v>
      </c>
      <c r="D8" s="39" t="s">
        <v>95</v>
      </c>
      <c r="E8" s="40" t="str">
        <f>VLOOKUP(F8,[1]Parameters!P:T,4,0)</f>
        <v>P24</v>
      </c>
      <c r="F8" s="39" t="s">
        <v>108</v>
      </c>
      <c r="G8" s="67"/>
      <c r="H8" s="67">
        <f>INDEX([1]Parameters!$B:$C,MATCH(I8,[1]Parameters!$C:$C,0),1)</f>
        <v>404</v>
      </c>
      <c r="I8" s="68" t="s">
        <v>101</v>
      </c>
      <c r="J8" s="68" t="s">
        <v>94</v>
      </c>
      <c r="K8" s="68" t="s">
        <v>102</v>
      </c>
      <c r="L8" s="68" t="str">
        <f>IFERROR(VLOOKUP(tblSOW[[#This Row],[Employee name ]],[1]Parameters!CP:CS,4,0),"")</f>
        <v/>
      </c>
      <c r="M8" s="69"/>
      <c r="N8" s="67" t="s">
        <v>109</v>
      </c>
      <c r="O8" s="76"/>
      <c r="P8" s="72">
        <v>45139</v>
      </c>
      <c r="Q8" s="72">
        <v>45290</v>
      </c>
      <c r="R8" s="67"/>
      <c r="S8" s="67">
        <f t="shared" ref="S8:S9" si="10">IF(OR(P8="",Q8=""),0,MONTH(Q8)-MONTH(P8)+1)</f>
        <v>5</v>
      </c>
      <c r="T8" s="68"/>
      <c r="U8" s="68">
        <v>4</v>
      </c>
      <c r="V8" s="68"/>
      <c r="W8" s="68"/>
      <c r="X8" s="73">
        <f>SUM(tblSOW[[#This Row],[Jan 2023 USD]:[Dec 2023 USD]])</f>
        <v>4106.0384828720171</v>
      </c>
      <c r="Y8" s="74">
        <f>tblSOW[[#This Row],[FTE Cost]]*tblSOW[[#This Row],[% work on project]]*AK8/12+tblSOW[[#This Row],[Task Cost]]*AW8+tblSOW[[#This Row],[External Expenses/Revenues USD]]*BI8/tblSOW[[#This Row],[Duration]]</f>
        <v>0</v>
      </c>
      <c r="Z8" s="74">
        <f>tblSOW[[#This Row],[FTE Cost]]*tblSOW[[#This Row],[% work on project]]*AL8/12+tblSOW[[#This Row],[Task Cost]]*AX8+tblSOW[[#This Row],[External Expenses/Revenues USD]]*BJ8/tblSOW[[#This Row],[Duration]]</f>
        <v>0</v>
      </c>
      <c r="AA8" s="74">
        <f>tblSOW[[#This Row],[FTE Cost]]*tblSOW[[#This Row],[% work on project]]*AM8/12+tblSOW[[#This Row],[Task Cost]]*AY8+tblSOW[[#This Row],[External Expenses/Revenues USD]]*BK8/tblSOW[[#This Row],[Duration]]</f>
        <v>0</v>
      </c>
      <c r="AB8" s="74">
        <f>tblSOW[[#This Row],[FTE Cost]]*tblSOW[[#This Row],[% work on project]]*AN8/12+tblSOW[[#This Row],[Task Cost]]*AZ8+tblSOW[[#This Row],[External Expenses/Revenues USD]]*BL8/tblSOW[[#This Row],[Duration]]</f>
        <v>0</v>
      </c>
      <c r="AC8" s="74">
        <f>tblSOW[[#This Row],[FTE Cost]]*tblSOW[[#This Row],[% work on project]]*AO8/12+tblSOW[[#This Row],[Task Cost]]*BA8+tblSOW[[#This Row],[External Expenses/Revenues USD]]*BM8/tblSOW[[#This Row],[Duration]]</f>
        <v>0</v>
      </c>
      <c r="AD8" s="74">
        <f>tblSOW[[#This Row],[FTE Cost]]*tblSOW[[#This Row],[% work on project]]*AP8/12+tblSOW[[#This Row],[Task Cost]]*BB8+tblSOW[[#This Row],[External Expenses/Revenues USD]]*BN8/tblSOW[[#This Row],[Duration]]</f>
        <v>0</v>
      </c>
      <c r="AE8" s="74">
        <f>tblSOW[[#This Row],[FTE Cost]]*tblSOW[[#This Row],[% work on project]]*AQ8/12+tblSOW[[#This Row],[Task Cost]]*BC8+tblSOW[[#This Row],[External Expenses/Revenues USD]]*BO8/tblSOW[[#This Row],[Duration]]</f>
        <v>0</v>
      </c>
      <c r="AF8" s="74">
        <f>tblSOW[[#This Row],[FTE Cost]]*tblSOW[[#This Row],[% work on project]]*AR8/12+tblSOW[[#This Row],[Task Cost]]*BD8+tblSOW[[#This Row],[External Expenses/Revenues USD]]*BP8/tblSOW[[#This Row],[Duration]]</f>
        <v>821.20769657440349</v>
      </c>
      <c r="AG8" s="74">
        <f>tblSOW[[#This Row],[FTE Cost]]*tblSOW[[#This Row],[% work on project]]*AS8/12+tblSOW[[#This Row],[Task Cost]]*BE8+tblSOW[[#This Row],[External Expenses/Revenues USD]]*BQ8/tblSOW[[#This Row],[Duration]]</f>
        <v>821.20769657440349</v>
      </c>
      <c r="AH8" s="74">
        <f>tblSOW[[#This Row],[FTE Cost]]*tblSOW[[#This Row],[% work on project]]*AT8/12+tblSOW[[#This Row],[Task Cost]]*BF8+tblSOW[[#This Row],[External Expenses/Revenues USD]]*BR8/tblSOW[[#This Row],[Duration]]</f>
        <v>821.20769657440349</v>
      </c>
      <c r="AI8" s="74">
        <f>tblSOW[[#This Row],[FTE Cost]]*tblSOW[[#This Row],[% work on project]]*AU8/12+tblSOW[[#This Row],[Task Cost]]*BG8+tblSOW[[#This Row],[External Expenses/Revenues USD]]*BS8/tblSOW[[#This Row],[Duration]]</f>
        <v>821.20769657440349</v>
      </c>
      <c r="AJ8" s="74">
        <f>tblSOW[[#This Row],[FTE Cost]]*tblSOW[[#This Row],[% work on project]]*AV8/12+tblSOW[[#This Row],[Task Cost]]*BH8+tblSOW[[#This Row],[External Expenses/Revenues USD]]*BT8/tblSOW[[#This Row],[Duration]]</f>
        <v>821.20769657440349</v>
      </c>
      <c r="AK8" s="74">
        <f t="shared" si="8"/>
        <v>0</v>
      </c>
      <c r="AL8" s="74">
        <f t="shared" si="8"/>
        <v>0</v>
      </c>
      <c r="AM8" s="74">
        <f t="shared" si="8"/>
        <v>0</v>
      </c>
      <c r="AN8" s="74">
        <f t="shared" si="8"/>
        <v>0</v>
      </c>
      <c r="AO8" s="74">
        <f t="shared" si="8"/>
        <v>0</v>
      </c>
      <c r="AP8" s="74">
        <f t="shared" si="8"/>
        <v>0</v>
      </c>
      <c r="AQ8" s="74">
        <f t="shared" si="8"/>
        <v>0</v>
      </c>
      <c r="AR8" s="74">
        <f t="shared" si="8"/>
        <v>1</v>
      </c>
      <c r="AS8" s="74">
        <f t="shared" si="8"/>
        <v>1</v>
      </c>
      <c r="AT8" s="74">
        <f t="shared" si="8"/>
        <v>1</v>
      </c>
      <c r="AU8" s="74">
        <f t="shared" si="8"/>
        <v>1</v>
      </c>
      <c r="AV8" s="74">
        <f t="shared" si="8"/>
        <v>1</v>
      </c>
      <c r="AW8" s="74">
        <f t="shared" si="9"/>
        <v>0</v>
      </c>
      <c r="AX8" s="74">
        <f t="shared" si="9"/>
        <v>0</v>
      </c>
      <c r="AY8" s="74">
        <f t="shared" si="9"/>
        <v>0</v>
      </c>
      <c r="AZ8" s="74">
        <f t="shared" si="9"/>
        <v>0</v>
      </c>
      <c r="BA8" s="74">
        <f t="shared" si="9"/>
        <v>0</v>
      </c>
      <c r="BB8" s="74">
        <f t="shared" si="9"/>
        <v>0</v>
      </c>
      <c r="BC8" s="74">
        <f t="shared" si="9"/>
        <v>0</v>
      </c>
      <c r="BD8" s="74">
        <f t="shared" si="9"/>
        <v>0.8</v>
      </c>
      <c r="BE8" s="74">
        <f t="shared" si="9"/>
        <v>0.8</v>
      </c>
      <c r="BF8" s="74">
        <f t="shared" si="9"/>
        <v>0.8</v>
      </c>
      <c r="BG8" s="74">
        <f t="shared" si="9"/>
        <v>0.8</v>
      </c>
      <c r="BH8" s="74">
        <f t="shared" si="9"/>
        <v>0.8</v>
      </c>
      <c r="BI8" s="74">
        <f t="shared" ref="BI8:BT9" si="11">IF($S8&gt;0,IF(AND(MONTH($P8)&lt;=BI$1,MONTH($Q8)&gt;=BI$1),1,0),0)</f>
        <v>0</v>
      </c>
      <c r="BJ8" s="74">
        <f t="shared" si="11"/>
        <v>0</v>
      </c>
      <c r="BK8" s="74">
        <f t="shared" si="11"/>
        <v>0</v>
      </c>
      <c r="BL8" s="74">
        <f t="shared" si="11"/>
        <v>0</v>
      </c>
      <c r="BM8" s="74">
        <f t="shared" si="11"/>
        <v>0</v>
      </c>
      <c r="BN8" s="74">
        <f t="shared" si="11"/>
        <v>0</v>
      </c>
      <c r="BO8" s="74">
        <f t="shared" si="11"/>
        <v>0</v>
      </c>
      <c r="BP8" s="74">
        <f t="shared" si="11"/>
        <v>1</v>
      </c>
      <c r="BQ8" s="74">
        <f t="shared" si="11"/>
        <v>1</v>
      </c>
      <c r="BR8" s="74">
        <f t="shared" si="11"/>
        <v>1</v>
      </c>
      <c r="BS8" s="74">
        <f t="shared" si="11"/>
        <v>1</v>
      </c>
      <c r="BT8" s="74">
        <f t="shared" si="11"/>
        <v>1</v>
      </c>
      <c r="BU8" s="74">
        <f>SUM(tblSOW[[#This Row],[P1]:[P12]])</f>
        <v>5</v>
      </c>
      <c r="BV8" s="74">
        <f xml:space="preserve"> IF(AND(ISNUMBER(SEARCH("-E000",tblSOW[[#This Row],[Budget Item]])), ISERROR(VLOOKUP(tblSOW[[#This Row],[Employee name ]],[1]Parameters!CP:DH,19,0))),VLOOKUP(tblSOW[[#This Row],[Employee name ]],[1]Parameters!CP:DH,19,0),IFERROR(VLOOKUP(tblSOW[[#This Row],[Employee name ]],[1]Parameters!CP:DH,19,0),0))</f>
        <v>0</v>
      </c>
      <c r="BW8" s="74">
        <f>IFERROR(VLOOKUP(K8,[1]Parameters!BN:BW,10,0),0)</f>
        <v>1026.5096207180043</v>
      </c>
    </row>
    <row r="9" spans="1:154" s="75" customFormat="1" ht="18.75" customHeight="1">
      <c r="A9" s="67" t="str">
        <f>CONCATENATE(INDEX([1]Parameters!$U$1:$V$20,MATCH(C9,[1]Parameters!$V$1:$V$20,0),1),"/",VLOOKUP(D9,[1]Parameters!$CG$1:$CH$12,2,0),".",E9,".",H9,".",LEFT(J9,3),"-",LEFT(K9,4))</f>
        <v>B10/20.P24.427.950-T109</v>
      </c>
      <c r="B9" s="67" t="s">
        <v>90</v>
      </c>
      <c r="C9" s="67" t="s">
        <v>91</v>
      </c>
      <c r="D9" s="39" t="s">
        <v>95</v>
      </c>
      <c r="E9" s="40" t="str">
        <f>VLOOKUP(F9,[1]Parameters!P:T,4,0)</f>
        <v>P24</v>
      </c>
      <c r="F9" s="39" t="s">
        <v>108</v>
      </c>
      <c r="G9" s="67"/>
      <c r="H9" s="67">
        <f>INDEX([1]Parameters!$B:$C,MATCH(I9,[1]Parameters!$C:$C,0),1)</f>
        <v>427</v>
      </c>
      <c r="I9" s="68" t="s">
        <v>104</v>
      </c>
      <c r="J9" s="68" t="s">
        <v>94</v>
      </c>
      <c r="K9" s="68" t="s">
        <v>105</v>
      </c>
      <c r="L9" s="68" t="str">
        <f>IFERROR(VLOOKUP(tblSOW[[#This Row],[Employee name ]],[1]Parameters!CP:CS,4,0),"")</f>
        <v/>
      </c>
      <c r="M9" s="69"/>
      <c r="N9" s="67" t="s">
        <v>109</v>
      </c>
      <c r="O9" s="76"/>
      <c r="P9" s="72">
        <v>45139</v>
      </c>
      <c r="Q9" s="72">
        <v>45290</v>
      </c>
      <c r="R9" s="67"/>
      <c r="S9" s="67">
        <f t="shared" si="10"/>
        <v>5</v>
      </c>
      <c r="T9" s="68"/>
      <c r="U9" s="68">
        <v>6</v>
      </c>
      <c r="V9" s="68"/>
      <c r="W9" s="68"/>
      <c r="X9" s="73">
        <f>SUM(tblSOW[[#This Row],[Jan 2023 USD]:[Dec 2023 USD]])</f>
        <v>4964.6592402354663</v>
      </c>
      <c r="Y9" s="74">
        <f>tblSOW[[#This Row],[FTE Cost]]*tblSOW[[#This Row],[% work on project]]*AK9/12+tblSOW[[#This Row],[Task Cost]]*AW9+tblSOW[[#This Row],[External Expenses/Revenues USD]]*BI9/tblSOW[[#This Row],[Duration]]</f>
        <v>0</v>
      </c>
      <c r="Z9" s="74">
        <f>tblSOW[[#This Row],[FTE Cost]]*tblSOW[[#This Row],[% work on project]]*AL9/12+tblSOW[[#This Row],[Task Cost]]*AX9+tblSOW[[#This Row],[External Expenses/Revenues USD]]*BJ9/tblSOW[[#This Row],[Duration]]</f>
        <v>0</v>
      </c>
      <c r="AA9" s="74">
        <f>tblSOW[[#This Row],[FTE Cost]]*tblSOW[[#This Row],[% work on project]]*AM9/12+tblSOW[[#This Row],[Task Cost]]*AY9+tblSOW[[#This Row],[External Expenses/Revenues USD]]*BK9/tblSOW[[#This Row],[Duration]]</f>
        <v>0</v>
      </c>
      <c r="AB9" s="74">
        <f>tblSOW[[#This Row],[FTE Cost]]*tblSOW[[#This Row],[% work on project]]*AN9/12+tblSOW[[#This Row],[Task Cost]]*AZ9+tblSOW[[#This Row],[External Expenses/Revenues USD]]*BL9/tblSOW[[#This Row],[Duration]]</f>
        <v>0</v>
      </c>
      <c r="AC9" s="74">
        <f>tblSOW[[#This Row],[FTE Cost]]*tblSOW[[#This Row],[% work on project]]*AO9/12+tblSOW[[#This Row],[Task Cost]]*BA9+tblSOW[[#This Row],[External Expenses/Revenues USD]]*BM9/tblSOW[[#This Row],[Duration]]</f>
        <v>0</v>
      </c>
      <c r="AD9" s="74">
        <f>tblSOW[[#This Row],[FTE Cost]]*tblSOW[[#This Row],[% work on project]]*AP9/12+tblSOW[[#This Row],[Task Cost]]*BB9+tblSOW[[#This Row],[External Expenses/Revenues USD]]*BN9/tblSOW[[#This Row],[Duration]]</f>
        <v>0</v>
      </c>
      <c r="AE9" s="74">
        <f>tblSOW[[#This Row],[FTE Cost]]*tblSOW[[#This Row],[% work on project]]*AQ9/12+tblSOW[[#This Row],[Task Cost]]*BC9+tblSOW[[#This Row],[External Expenses/Revenues USD]]*BO9/tblSOW[[#This Row],[Duration]]</f>
        <v>0</v>
      </c>
      <c r="AF9" s="74">
        <f>tblSOW[[#This Row],[FTE Cost]]*tblSOW[[#This Row],[% work on project]]*AR9/12+tblSOW[[#This Row],[Task Cost]]*BD9+tblSOW[[#This Row],[External Expenses/Revenues USD]]*BP9/tblSOW[[#This Row],[Duration]]</f>
        <v>992.93184804709324</v>
      </c>
      <c r="AG9" s="74">
        <f>tblSOW[[#This Row],[FTE Cost]]*tblSOW[[#This Row],[% work on project]]*AS9/12+tblSOW[[#This Row],[Task Cost]]*BE9+tblSOW[[#This Row],[External Expenses/Revenues USD]]*BQ9/tblSOW[[#This Row],[Duration]]</f>
        <v>992.93184804709324</v>
      </c>
      <c r="AH9" s="74">
        <f>tblSOW[[#This Row],[FTE Cost]]*tblSOW[[#This Row],[% work on project]]*AT9/12+tblSOW[[#This Row],[Task Cost]]*BF9+tblSOW[[#This Row],[External Expenses/Revenues USD]]*BR9/tblSOW[[#This Row],[Duration]]</f>
        <v>992.93184804709324</v>
      </c>
      <c r="AI9" s="74">
        <f>tblSOW[[#This Row],[FTE Cost]]*tblSOW[[#This Row],[% work on project]]*AU9/12+tblSOW[[#This Row],[Task Cost]]*BG9+tblSOW[[#This Row],[External Expenses/Revenues USD]]*BS9/tblSOW[[#This Row],[Duration]]</f>
        <v>992.93184804709324</v>
      </c>
      <c r="AJ9" s="74">
        <f>tblSOW[[#This Row],[FTE Cost]]*tblSOW[[#This Row],[% work on project]]*AV9/12+tblSOW[[#This Row],[Task Cost]]*BH9+tblSOW[[#This Row],[External Expenses/Revenues USD]]*BT9/tblSOW[[#This Row],[Duration]]</f>
        <v>992.93184804709324</v>
      </c>
      <c r="AK9" s="74">
        <f t="shared" si="8"/>
        <v>0</v>
      </c>
      <c r="AL9" s="74">
        <f t="shared" si="8"/>
        <v>0</v>
      </c>
      <c r="AM9" s="74">
        <f t="shared" si="8"/>
        <v>0</v>
      </c>
      <c r="AN9" s="74">
        <f t="shared" si="8"/>
        <v>0</v>
      </c>
      <c r="AO9" s="74">
        <f t="shared" si="8"/>
        <v>0</v>
      </c>
      <c r="AP9" s="74">
        <f t="shared" si="8"/>
        <v>0</v>
      </c>
      <c r="AQ9" s="74">
        <f t="shared" si="8"/>
        <v>0</v>
      </c>
      <c r="AR9" s="74">
        <f t="shared" si="8"/>
        <v>1</v>
      </c>
      <c r="AS9" s="74">
        <f t="shared" si="8"/>
        <v>1</v>
      </c>
      <c r="AT9" s="74">
        <f t="shared" si="8"/>
        <v>1</v>
      </c>
      <c r="AU9" s="74">
        <f t="shared" si="8"/>
        <v>1</v>
      </c>
      <c r="AV9" s="74">
        <f t="shared" si="8"/>
        <v>1</v>
      </c>
      <c r="AW9" s="74">
        <f t="shared" si="9"/>
        <v>0</v>
      </c>
      <c r="AX9" s="74">
        <f t="shared" si="9"/>
        <v>0</v>
      </c>
      <c r="AY9" s="74">
        <f t="shared" si="9"/>
        <v>0</v>
      </c>
      <c r="AZ9" s="74">
        <f t="shared" si="9"/>
        <v>0</v>
      </c>
      <c r="BA9" s="74">
        <f t="shared" si="9"/>
        <v>0</v>
      </c>
      <c r="BB9" s="74">
        <f t="shared" si="9"/>
        <v>0</v>
      </c>
      <c r="BC9" s="74">
        <f t="shared" si="9"/>
        <v>0</v>
      </c>
      <c r="BD9" s="74">
        <f t="shared" si="9"/>
        <v>1.2</v>
      </c>
      <c r="BE9" s="74">
        <f t="shared" si="9"/>
        <v>1.2</v>
      </c>
      <c r="BF9" s="74">
        <f t="shared" si="9"/>
        <v>1.2</v>
      </c>
      <c r="BG9" s="74">
        <f t="shared" si="9"/>
        <v>1.2</v>
      </c>
      <c r="BH9" s="74">
        <f t="shared" si="9"/>
        <v>1.2</v>
      </c>
      <c r="BI9" s="74">
        <f t="shared" si="11"/>
        <v>0</v>
      </c>
      <c r="BJ9" s="74">
        <f t="shared" si="11"/>
        <v>0</v>
      </c>
      <c r="BK9" s="74">
        <f t="shared" si="11"/>
        <v>0</v>
      </c>
      <c r="BL9" s="74">
        <f t="shared" si="11"/>
        <v>0</v>
      </c>
      <c r="BM9" s="74">
        <f t="shared" si="11"/>
        <v>0</v>
      </c>
      <c r="BN9" s="74">
        <f t="shared" si="11"/>
        <v>0</v>
      </c>
      <c r="BO9" s="74">
        <f t="shared" si="11"/>
        <v>0</v>
      </c>
      <c r="BP9" s="74">
        <f t="shared" si="11"/>
        <v>1</v>
      </c>
      <c r="BQ9" s="74">
        <f t="shared" si="11"/>
        <v>1</v>
      </c>
      <c r="BR9" s="74">
        <f t="shared" si="11"/>
        <v>1</v>
      </c>
      <c r="BS9" s="74">
        <f t="shared" si="11"/>
        <v>1</v>
      </c>
      <c r="BT9" s="74">
        <f t="shared" si="11"/>
        <v>1</v>
      </c>
      <c r="BU9" s="74">
        <f>SUM(tblSOW[[#This Row],[P1]:[P12]])</f>
        <v>5</v>
      </c>
      <c r="BV9" s="74">
        <f xml:space="preserve"> IF(AND(ISNUMBER(SEARCH("-E000",tblSOW[[#This Row],[Budget Item]])), ISERROR(VLOOKUP(tblSOW[[#This Row],[Employee name ]],[1]Parameters!CP:DH,19,0))),VLOOKUP(tblSOW[[#This Row],[Employee name ]],[1]Parameters!CP:DH,19,0),IFERROR(VLOOKUP(tblSOW[[#This Row],[Employee name ]],[1]Parameters!CP:DH,19,0),0))</f>
        <v>0</v>
      </c>
      <c r="BW9" s="74">
        <f>IFERROR(VLOOKUP(K9,[1]Parameters!BN:BW,10,0),0)</f>
        <v>827.44320670591105</v>
      </c>
    </row>
    <row r="21" spans="1:154" s="3" customFormat="1">
      <c r="A21" s="5"/>
      <c r="D21" s="4"/>
      <c r="E21" s="4"/>
      <c r="F21" s="4"/>
      <c r="G21" s="4"/>
      <c r="H21" s="5"/>
      <c r="J21"/>
      <c r="L21"/>
      <c r="M21" s="63"/>
      <c r="N21"/>
      <c r="O21" s="7"/>
      <c r="P21" s="8"/>
      <c r="Q21" s="8"/>
      <c r="R21"/>
      <c r="S21"/>
      <c r="T21">
        <f>237/220</f>
        <v>1.0772727272727274</v>
      </c>
      <c r="X21" s="64"/>
      <c r="AB21" s="5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</row>
  </sheetData>
  <dataConsolidate/>
  <mergeCells count="1">
    <mergeCell ref="T1:U1"/>
  </mergeCells>
  <conditionalFormatting sqref="BY4:BY9 CC10:CC1048576">
    <cfRule type="containsText" dxfId="2" priority="2" operator="containsText" text="False">
      <formula>NOT(ISERROR(SEARCH("False",BY4)))</formula>
    </cfRule>
  </conditionalFormatting>
  <conditionalFormatting sqref="BY1:BY2">
    <cfRule type="containsText" dxfId="1" priority="4" operator="containsText" text="False">
      <formula>NOT(ISERROR(SEARCH("False",BY1)))</formula>
    </cfRule>
  </conditionalFormatting>
  <conditionalFormatting sqref="BY3:BZ3">
    <cfRule type="containsText" dxfId="0" priority="3" operator="containsText" text="False">
      <formula>NOT(ISERROR(SEARCH("False",BY3)))</formula>
    </cfRule>
  </conditionalFormatting>
  <dataValidations count="1">
    <dataValidation type="list" allowBlank="1" showInputMessage="1" showErrorMessage="1" sqref="R4:R9" xr:uid="{0C41E92C-2D42-47F1-95C3-9D920891DBE6}">
      <formula1>#REF!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SOW Product</vt:lpstr>
      <vt:lpstr>SOW Lavie Bio</vt:lpstr>
      <vt:lpstr>SOW Biomica</vt:lpstr>
      <vt:lpstr>SOW CPB</vt:lpstr>
      <vt:lpstr>SOW Casterra</vt:lpstr>
      <vt:lpstr>SOW Canonic</vt:lpstr>
      <vt:lpstr>SOW Agseed</vt:lpstr>
      <vt:lpstr>SOW Agplenus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Yehuda</dc:creator>
  <cp:lastModifiedBy>Karine Yehuda</cp:lastModifiedBy>
  <dcterms:created xsi:type="dcterms:W3CDTF">2023-09-21T07:08:48Z</dcterms:created>
  <dcterms:modified xsi:type="dcterms:W3CDTF">2023-09-21T07:33:40Z</dcterms:modified>
</cp:coreProperties>
</file>